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7.xml.rels" ContentType="application/vnd.openxmlformats-package.relationships+xml"/>
  <Override PartName="/xl/worksheets/_rels/sheet16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7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randa" sheetId="1" state="visible" r:id="rId3"/>
    <sheet name="Master" sheetId="2" state="visible" r:id="rId4"/>
    <sheet name="Penerimaan" sheetId="3" state="visible" r:id="rId5"/>
    <sheet name="Pengeluaran" sheetId="4" state="visible" r:id="rId6"/>
    <sheet name="Anggaran" sheetId="5" state="visible" r:id="rId7"/>
    <sheet name="Daftar Aset" sheetId="6" state="visible" r:id="rId8"/>
    <sheet name="Dashboard" sheetId="7" state="visible" r:id="rId9"/>
    <sheet name="Buku Kas" sheetId="8" state="visible" r:id="rId10"/>
    <sheet name="Buku Bank" sheetId="9" state="visible" r:id="rId11"/>
    <sheet name="Buku Besar" sheetId="10" state="visible" r:id="rId12"/>
    <sheet name="Neraca Saldo" sheetId="11" state="visible" r:id="rId13"/>
    <sheet name="Lap Posisi Keuangan" sheetId="12" state="visible" r:id="rId14"/>
    <sheet name="Lap Aktivitas" sheetId="13" state="visible" r:id="rId15"/>
    <sheet name="Lap Arus Kas" sheetId="14" state="visible" r:id="rId16"/>
    <sheet name="Lap Dana &amp; Program" sheetId="15" state="visible" r:id="rId17"/>
    <sheet name="Rekap Donatur" sheetId="16" state="visible" r:id="rId18"/>
    <sheet name="Analisis" sheetId="17" state="visible" r:id="rId19"/>
  </sheets>
  <definedNames>
    <definedName function="false" hidden="false" localSheetId="16" name="_xlnm.Print_Area" vbProcedure="false">Analisis!$A$1:$E$36</definedName>
    <definedName function="false" hidden="false" localSheetId="4" name="_xlnm.Print_Area" vbProcedure="false">Anggaran!$A$1:$H$31</definedName>
    <definedName function="false" hidden="false" localSheetId="0" name="_xlnm.Print_Area" vbProcedure="false">Beranda!$A$1:$J$40</definedName>
    <definedName function="false" hidden="false" localSheetId="8" name="_xlnm.Print_Area" vbProcedure="false">'Buku Bank'!$A$1:$G$25</definedName>
    <definedName function="false" hidden="false" localSheetId="9" name="_xlnm.Print_Area" vbProcedure="false">'Buku Besar'!$A$1:$H$39</definedName>
    <definedName function="false" hidden="false" localSheetId="9" name="_xlnm.Print_Titles" vbProcedure="false">'Buku Besar'!$1:$4</definedName>
    <definedName function="false" hidden="false" localSheetId="7" name="_xlnm.Print_Area" vbProcedure="false">'Buku Kas'!$A$1:$G$18</definedName>
    <definedName function="false" hidden="false" localSheetId="5" name="_xlnm.Print_Area" vbProcedure="false">'Daftar Aset'!$A$1:$K$14</definedName>
    <definedName function="false" hidden="false" localSheetId="6" name="_xlnm.Print_Area" vbProcedure="false">Dashboard!$A$1:$M$38</definedName>
    <definedName function="false" hidden="false" localSheetId="12" name="_xlnm.Print_Area" vbProcedure="false">'Lap Aktivitas'!$A$1:$H$20</definedName>
    <definedName function="false" hidden="false" localSheetId="13" name="_xlnm.Print_Area" vbProcedure="false">'Lap Arus Kas'!$A$1:$D$20</definedName>
    <definedName function="false" hidden="false" localSheetId="14" name="_xlnm.Print_Area" vbProcedure="false">'Lap Dana &amp; Program'!$A$1:$G$50</definedName>
    <definedName function="false" hidden="false" localSheetId="11" name="_xlnm.Print_Area" vbProcedure="false">'Lap Posisi Keuangan'!$A$1:$D$17</definedName>
    <definedName function="false" hidden="false" localSheetId="1" name="_xlnm.Print_Area" vbProcedure="false">Master!$A$1:$P$33</definedName>
    <definedName function="false" hidden="false" localSheetId="10" name="_xlnm.Print_Area" vbProcedure="false">'Neraca Saldo'!$A$1:$F$33</definedName>
    <definedName function="false" hidden="false" localSheetId="10" name="_xlnm.Print_Titles" vbProcedure="false">'Neraca Saldo'!$1:$4</definedName>
    <definedName function="false" hidden="false" localSheetId="2" name="_xlnm.Print_Area" vbProcedure="false">Penerimaan!$A$1:$K$400</definedName>
    <definedName function="false" hidden="false" localSheetId="2" name="_xlnm.Print_Titles" vbProcedure="false">Penerimaan!$1:$5</definedName>
    <definedName function="false" hidden="true" localSheetId="2" name="_xlnm._FilterDatabase" vbProcedure="false">Penerimaan!$A$5:$K$400</definedName>
    <definedName function="false" hidden="false" localSheetId="3" name="_xlnm.Print_Area" vbProcedure="false">Pengeluaran!$A$1:$K$400</definedName>
    <definedName function="false" hidden="false" localSheetId="3" name="_xlnm.Print_Titles" vbProcedure="false">Pengeluaran!$1:$5</definedName>
    <definedName function="false" hidden="true" localSheetId="3" name="_xlnm._FilterDatabase" vbProcedure="false">Pengeluaran!$A$5:$K$400</definedName>
    <definedName function="false" hidden="false" localSheetId="15" name="_xlnm.Print_Area" vbProcedure="false">'Rekap Donatur'!$A$1:$F$17</definedName>
    <definedName function="false" hidden="false" name="BankList" vbProcedure="false">Master!$L$5:$L$6</definedName>
    <definedName function="false" hidden="false" name="DonaturList" vbProcedure="false">Master!$N$5:$N$14</definedName>
    <definedName function="false" hidden="false" name="JenisDana" vbProcedure="false">Master!$A$5:$A$11</definedName>
    <definedName function="false" hidden="false" name="KatPenerimaan" vbProcedure="false">Master!$D$5:$D$16</definedName>
    <definedName function="false" hidden="false" name="KatPengeluaran" vbProcedure="false">Master!$F$5:$F$16</definedName>
    <definedName function="false" hidden="false" name="MetodeList" vbProcedure="false">Master!$J$5:$J$7</definedName>
    <definedName function="false" hidden="false" name="ProgramList" vbProcedure="false">Master!$H$5:$H$13</definedName>
    <definedName function="false" hidden="false" name="SaldoAwalBank" vbProcedure="false">Master!$B$26</definedName>
    <definedName function="false" hidden="false" name="SaldoAwalKas" vbProcedure="false">Master!$B$25</definedName>
    <definedName function="false" hidden="false" name="VendorList" vbProcedure="false">Master!$P$5:$P$12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<sst xmlns="http://schemas.openxmlformats.org/spreadsheetml/2006/main" count="1318" uniqueCount="415">
  <si>
    <t xml:space="preserve">SISTEM MANAJEMEN KEUANGAN MASJID</t>
  </si>
  <si>
    <t xml:space="preserve">Financial Management System  •  berbasis Microsoft Excel  •  standar akuntansi entitas nonlaba (ISAK 35)</t>
  </si>
  <si>
    <t xml:space="preserve">RINGKASAN KEUANGAN</t>
  </si>
  <si>
    <t xml:space="preserve">TOTAL PENERIMAAN</t>
  </si>
  <si>
    <t xml:space="preserve">TOTAL PENGELUARAN</t>
  </si>
  <si>
    <t xml:space="preserve">SURPLUS / DEFISIT</t>
  </si>
  <si>
    <t xml:space="preserve">SALDO KAS TUNAI</t>
  </si>
  <si>
    <t xml:space="preserve">SALDO BANK</t>
  </si>
  <si>
    <t xml:space="preserve">TOTAL SALDO DANA</t>
  </si>
  <si>
    <t xml:space="preserve">MENU NAVIGASI</t>
  </si>
  <si>
    <t xml:space="preserve">IDENTITAS MASJID  (teks biru dapat diubah)</t>
  </si>
  <si>
    <t xml:space="preserve">STATUS SISTEM</t>
  </si>
  <si>
    <t xml:space="preserve">Nama Masjid</t>
  </si>
  <si>
    <t xml:space="preserve">Masjid Al-Hidayah</t>
  </si>
  <si>
    <t xml:space="preserve">Kondisi keuangan</t>
  </si>
  <si>
    <t xml:space="preserve">Alamat</t>
  </si>
  <si>
    <t xml:space="preserve">Jl. Masjid Raya No. 1, Jakarta</t>
  </si>
  <si>
    <t xml:space="preserve">Saldo awal (Master)</t>
  </si>
  <si>
    <t xml:space="preserve">Periode Pembukuan</t>
  </si>
  <si>
    <t xml:space="preserve">Tahun 2026</t>
  </si>
  <si>
    <t xml:space="preserve">Neraca saldo</t>
  </si>
  <si>
    <t xml:space="preserve">Ketua DKM</t>
  </si>
  <si>
    <t xml:space="preserve">H. Abdullah Rahman</t>
  </si>
  <si>
    <t xml:space="preserve">Peringatan dini kas</t>
  </si>
  <si>
    <t xml:space="preserve">Bendahara</t>
  </si>
  <si>
    <t xml:space="preserve">Bpk. Ahmad Fauzi</t>
  </si>
  <si>
    <t xml:space="preserve">Transaksi tercatat</t>
  </si>
  <si>
    <t xml:space="preserve">PANDUAN PENGGUNAAN</t>
  </si>
  <si>
    <t xml:space="preserve">1.   Sesuaikan Master Data: jenis dana, kategori, program, donatur, rekening bank, dan saldo awal.</t>
  </si>
  <si>
    <t xml:space="preserve">2.   Catat uang masuk pada sheet Penerimaan dan uang keluar pada sheet Pengeluaran — gunakan dropdown.</t>
  </si>
  <si>
    <t xml:space="preserve">3.   Nomor bukti (PM-/PG-) dan kolom bulan terisi otomatis; cukup isi tanggal, pilihan, nominal, keterangan.</t>
  </si>
  <si>
    <t xml:space="preserve">4.   Susun anggaran tahunan pada sheet Anggaran (angka biru) — realisasi dibandingkan otomatis.</t>
  </si>
  <si>
    <t xml:space="preserve">5.   Seluruh dashboard, buku, laporan keuangan, dan analisis terbarui otomatis tanpa input tambahan.</t>
  </si>
  <si>
    <t xml:space="preserve">6.   Cetak laporan langsung — setiap sheet sudah diatur rapi (skala menyesuaikan lebar kertas).</t>
  </si>
  <si>
    <t xml:space="preserve">7.   Aturan warna: teks BIRU = boleh diisi/diubah; teks HITAM = hasil rumus (jangan diubah).</t>
  </si>
  <si>
    <t xml:space="preserve">8.   Data contoh Jan–Jun 2026 disertakan sebagai ilustrasi — hapus isi baris transaksi untuk mulai dari awal.</t>
  </si>
  <si>
    <t xml:space="preserve">9.   Laporan disusun berbasis kas mengacu pada ISAK 35 (pelaporan entitas berorientasi nonlaba – IAI).</t>
  </si>
  <si>
    <t xml:space="preserve">10.   Simpan salinan cadangan secara berkala dan lindungi file dengan kata sandi bila diperlukan.</t>
  </si>
  <si>
    <t xml:space="preserve">Angka contoh Januari–Juni 2026 hanya ilustrasi. Sumber seluruh nilai pada halaman ini: sheet Dashboard, Master, dan Analisis (dihitung otomatis).</t>
  </si>
  <si>
    <t xml:space="preserve">MASTER DATA</t>
  </si>
  <si>
    <t xml:space="preserve">Data referensi sistem — sesuaikan dengan kebutuhan masjid Anda  •  teks biru boleh diubah</t>
  </si>
  <si>
    <t xml:space="preserve">JENIS DANA</t>
  </si>
  <si>
    <t xml:space="preserve">KLASIFIKASI ASET NETO</t>
  </si>
  <si>
    <t xml:space="preserve">KATEGORI PENERIMAAN</t>
  </si>
  <si>
    <t xml:space="preserve">KATEGORI PENGELUARAN</t>
  </si>
  <si>
    <t xml:space="preserve">PROGRAM / KEGIATAN</t>
  </si>
  <si>
    <t xml:space="preserve">METODE PEMBAYARAN</t>
  </si>
  <si>
    <t xml:space="preserve">REKENING BANK</t>
  </si>
  <si>
    <t xml:space="preserve">DONATUR</t>
  </si>
  <si>
    <t xml:space="preserve">VENDOR / PENERIMA</t>
  </si>
  <si>
    <t xml:space="preserve">Operasional</t>
  </si>
  <si>
    <t xml:space="preserve">Tanpa Pembatasan</t>
  </si>
  <si>
    <t xml:space="preserve">Infak Jumat</t>
  </si>
  <si>
    <t xml:space="preserve">Listrik &amp; Air</t>
  </si>
  <si>
    <t xml:space="preserve">Operasional Rutin</t>
  </si>
  <si>
    <t xml:space="preserve">Tunai</t>
  </si>
  <si>
    <t xml:space="preserve">BSI 7101-2345-67</t>
  </si>
  <si>
    <t xml:space="preserve">Hamba Allah</t>
  </si>
  <si>
    <t xml:space="preserve">CV Cahaya Teknik</t>
  </si>
  <si>
    <t xml:space="preserve">Pembangunan</t>
  </si>
  <si>
    <t xml:space="preserve">Dengan Pembatasan</t>
  </si>
  <si>
    <t xml:space="preserve">Infak Harian</t>
  </si>
  <si>
    <t xml:space="preserve">Kebersihan &amp; Keamanan</t>
  </si>
  <si>
    <t xml:space="preserve">Pembangunan Menara</t>
  </si>
  <si>
    <t xml:space="preserve">Transfer Bank</t>
  </si>
  <si>
    <t xml:space="preserve">Muamalat 3010-8899-01</t>
  </si>
  <si>
    <t xml:space="preserve">Toko Bangunan Barokah</t>
  </si>
  <si>
    <t xml:space="preserve">Zakat</t>
  </si>
  <si>
    <t xml:space="preserve">Kotak Amal</t>
  </si>
  <si>
    <t xml:space="preserve">Honorarium</t>
  </si>
  <si>
    <t xml:space="preserve">Renovasi Tempat Wudhu</t>
  </si>
  <si>
    <t xml:space="preserve">QRIS</t>
  </si>
  <si>
    <t xml:space="preserve">Hj. Siti Maryam</t>
  </si>
  <si>
    <t xml:space="preserve">PLN / PDAM</t>
  </si>
  <si>
    <t xml:space="preserve">Infak</t>
  </si>
  <si>
    <t xml:space="preserve">Zakat Fitrah</t>
  </si>
  <si>
    <t xml:space="preserve">Kegiatan Dakwah</t>
  </si>
  <si>
    <t xml:space="preserve">Kajian Rutin</t>
  </si>
  <si>
    <t xml:space="preserve">Ust. Hasan (Imam)</t>
  </si>
  <si>
    <t xml:space="preserve">Sedekah</t>
  </si>
  <si>
    <t xml:space="preserve">Zakat Maal</t>
  </si>
  <si>
    <t xml:space="preserve">Pendidikan (TPA)</t>
  </si>
  <si>
    <t xml:space="preserve">TPA Al-Hidayah</t>
  </si>
  <si>
    <t xml:space="preserve">Ibu Fatimah Azzahra</t>
  </si>
  <si>
    <t xml:space="preserve">Marbot - Pak Slamet</t>
  </si>
  <si>
    <t xml:space="preserve">Wakaf</t>
  </si>
  <si>
    <t xml:space="preserve">Wakaf Tunai</t>
  </si>
  <si>
    <t xml:space="preserve">Sosial &amp; Santunan</t>
  </si>
  <si>
    <t xml:space="preserve">Santunan Yatim &amp; Dhuafa</t>
  </si>
  <si>
    <t xml:space="preserve">PT Berkah Amanah</t>
  </si>
  <si>
    <t xml:space="preserve">Percetakan Amanah</t>
  </si>
  <si>
    <t xml:space="preserve">Lainnya</t>
  </si>
  <si>
    <t xml:space="preserve">Hibah</t>
  </si>
  <si>
    <t xml:space="preserve">Ramadan</t>
  </si>
  <si>
    <t xml:space="preserve">Ramadan 1447 H</t>
  </si>
  <si>
    <t xml:space="preserve">Bpk. Muhammad Ridwan</t>
  </si>
  <si>
    <t xml:space="preserve">Katering Ummi</t>
  </si>
  <si>
    <t xml:space="preserve">Donasi Online</t>
  </si>
  <si>
    <t xml:space="preserve">Kurban</t>
  </si>
  <si>
    <t xml:space="preserve">Kurban 1447 H</t>
  </si>
  <si>
    <t xml:space="preserve">Ibu Khadijah</t>
  </si>
  <si>
    <t xml:space="preserve">Toko Elektronik Jaya</t>
  </si>
  <si>
    <t xml:space="preserve">Pendapatan Sewa</t>
  </si>
  <si>
    <t xml:space="preserve">Umum</t>
  </si>
  <si>
    <t xml:space="preserve">Keluarga Alm. H. Usman</t>
  </si>
  <si>
    <t xml:space="preserve">Pendapatan Usaha</t>
  </si>
  <si>
    <t xml:space="preserve">Pemeliharaan</t>
  </si>
  <si>
    <t xml:space="preserve">Jamaah Masjid</t>
  </si>
  <si>
    <t xml:space="preserve">Pembelian Aset</t>
  </si>
  <si>
    <t xml:space="preserve">Administrasi &amp; Umum</t>
  </si>
  <si>
    <t xml:space="preserve">Catatan: daftar di atas menjadi sumber seluruh dropdown pada modul transaksi. Menambah/menghapus baris akan mengubah pilihan dropdown — perbarui juga rentang nama (Formulas ▸ Name Manager) bila menambah baris baru.</t>
  </si>
  <si>
    <t xml:space="preserve">SALDO AWAL (per 1 Januari 2026)</t>
  </si>
  <si>
    <t xml:space="preserve">SALDO AWAL PER JENIS DANA</t>
  </si>
  <si>
    <t xml:space="preserve">Saldo Awal Kas Tunai</t>
  </si>
  <si>
    <t xml:space="preserve">Saldo Awal Bank</t>
  </si>
  <si>
    <t xml:space="preserve">Total Saldo Awal</t>
  </si>
  <si>
    <t xml:space="preserve">Total per Jenis Dana</t>
  </si>
  <si>
    <t xml:space="preserve">Cek Keseimbangan</t>
  </si>
  <si>
    <t xml:space="preserve">MODUL PENERIMAAN DANA</t>
  </si>
  <si>
    <t xml:space="preserve">Isi kolom Tanggal s.d. Keterangan — Nomor bukti &amp; Bulan terisi otomatis  •  gunakan dropdown pada sel biru</t>
  </si>
  <si>
    <t xml:space="preserve">Total Penerimaan</t>
  </si>
  <si>
    <t xml:space="preserve">Jumlah Transaksi</t>
  </si>
  <si>
    <t xml:space="preserve">Rata-rata per Transaksi</t>
  </si>
  <si>
    <t xml:space="preserve">No.</t>
  </si>
  <si>
    <t xml:space="preserve">Tanggal</t>
  </si>
  <si>
    <t xml:space="preserve">Bln</t>
  </si>
  <si>
    <t xml:space="preserve">Jenis Dana</t>
  </si>
  <si>
    <t xml:space="preserve">Kategori</t>
  </si>
  <si>
    <t xml:space="preserve">Program</t>
  </si>
  <si>
    <t xml:space="preserve">Donatur / Sumber</t>
  </si>
  <si>
    <t xml:space="preserve">Metode</t>
  </si>
  <si>
    <t xml:space="preserve">Bank</t>
  </si>
  <si>
    <t xml:space="preserve">Jumlah (Rp)</t>
  </si>
  <si>
    <t xml:space="preserve">Keterangan</t>
  </si>
  <si>
    <t xml:space="preserve">Infak shalat Jumat</t>
  </si>
  <si>
    <t xml:space="preserve">Donasi via QRIS</t>
  </si>
  <si>
    <t xml:space="preserve">Pembukaan kotak amal harian</t>
  </si>
  <si>
    <t xml:space="preserve">Donasi rutin pembangunan menara</t>
  </si>
  <si>
    <t xml:space="preserve">Hibah CSR perusahaan</t>
  </si>
  <si>
    <t xml:space="preserve">Sewa aula serbaguna</t>
  </si>
  <si>
    <t xml:space="preserve">Renovasi tempat wudhu</t>
  </si>
  <si>
    <t xml:space="preserve">Infak tarawih pekan ke-1</t>
  </si>
  <si>
    <t xml:space="preserve">Infak tarawih pekan ke-2</t>
  </si>
  <si>
    <t xml:space="preserve">Zakat maal 2,5%</t>
  </si>
  <si>
    <t xml:space="preserve">Infak tarawih pekan ke-3</t>
  </si>
  <si>
    <t xml:space="preserve">Zakat fitrah 280 jiwa</t>
  </si>
  <si>
    <t xml:space="preserve">Zakat fitrah 210 jiwa</t>
  </si>
  <si>
    <t xml:space="preserve">Wakaf tunai atas nama almarhum</t>
  </si>
  <si>
    <t xml:space="preserve">Wakaf tunai</t>
  </si>
  <si>
    <t xml:space="preserve">Tabungan kurban 1 kambing</t>
  </si>
  <si>
    <t xml:space="preserve">Kurban 1 sapi patungan</t>
  </si>
  <si>
    <t xml:space="preserve">Hasil kantin masjid Juni</t>
  </si>
  <si>
    <t xml:space="preserve">MODUL PENGELUARAN DANA</t>
  </si>
  <si>
    <t xml:space="preserve">Total Pengeluaran</t>
  </si>
  <si>
    <t xml:space="preserve">Penerima / Vendor</t>
  </si>
  <si>
    <t xml:space="preserve">Honor imam &amp; khatib</t>
  </si>
  <si>
    <t xml:space="preserve">Honor marbot</t>
  </si>
  <si>
    <t xml:space="preserve">Tagihan listrik &amp; air</t>
  </si>
  <si>
    <t xml:space="preserve">Perlengkapan kebersihan</t>
  </si>
  <si>
    <t xml:space="preserve">Kajian rutin &amp; konsumsi</t>
  </si>
  <si>
    <t xml:space="preserve">Honor pengajar TPA</t>
  </si>
  <si>
    <t xml:space="preserve">Santunan 10 anak yatim</t>
  </si>
  <si>
    <t xml:space="preserve">Termin 1 pekerjaan pondasi menara</t>
  </si>
  <si>
    <t xml:space="preserve">Takjil &amp; buka puasa pekan 1</t>
  </si>
  <si>
    <t xml:space="preserve">Takjil &amp; buka puasa pekan 2-3</t>
  </si>
  <si>
    <t xml:space="preserve">Penyaluran zakat fitrah 8 asnaf</t>
  </si>
  <si>
    <t xml:space="preserve">Penyaluran zakat maal mustahik</t>
  </si>
  <si>
    <t xml:space="preserve">Termin 2 struktur menara</t>
  </si>
  <si>
    <t xml:space="preserve">Servis AC &amp; pompa air</t>
  </si>
  <si>
    <t xml:space="preserve">Santunan yatim &amp; dhuafa</t>
  </si>
  <si>
    <t xml:space="preserve">Sound system baru</t>
  </si>
  <si>
    <t xml:space="preserve">Material renovasi tempat wudhu</t>
  </si>
  <si>
    <t xml:space="preserve">ATK &amp; cetak laporan</t>
  </si>
  <si>
    <t xml:space="preserve">Termin 3 menara (dana wakaf)</t>
  </si>
  <si>
    <t xml:space="preserve">ANGGARAN vs REALISASI</t>
  </si>
  <si>
    <t xml:space="preserve">Isi kolom Anggaran/Target tahunan (angka biru) — realisasi, sisa, dan status dihitung otomatis</t>
  </si>
  <si>
    <t xml:space="preserve">A.  ANGGARAN PENGELUARAN PER KATEGORI — TAHUN BERJALAN</t>
  </si>
  <si>
    <t xml:space="preserve">Kategori Pengeluaran</t>
  </si>
  <si>
    <t xml:space="preserve">Anggaran Tahunan</t>
  </si>
  <si>
    <t xml:space="preserve">Anggaran / Bulan</t>
  </si>
  <si>
    <t xml:space="preserve">Realisasi (YTD)</t>
  </si>
  <si>
    <t xml:space="preserve">Sisa Anggaran</t>
  </si>
  <si>
    <t xml:space="preserve">% Realisasi</t>
  </si>
  <si>
    <t xml:space="preserve">Status</t>
  </si>
  <si>
    <t xml:space="preserve">TOTAL</t>
  </si>
  <si>
    <t xml:space="preserve">B.  TARGET PENERIMAAN PER JENIS DANA — TAHUN BERJALAN</t>
  </si>
  <si>
    <t xml:space="preserve">Target Tahunan</t>
  </si>
  <si>
    <t xml:space="preserve">Target / Bulan</t>
  </si>
  <si>
    <t xml:space="preserve">Selisih</t>
  </si>
  <si>
    <t xml:space="preserve">% Capaian</t>
  </si>
  <si>
    <t xml:space="preserve">Status: ✔ Aman (&lt; 80% anggaran) · ● Perhatian (80–100%) · ⚠ Melebihi anggaran. Angka anggaran adalah asumsi awal dari pengguna — sesuaikan dengan RKA masjid.</t>
  </si>
  <si>
    <t xml:space="preserve">DAFTAR ASET &amp; INVENTARIS</t>
  </si>
  <si>
    <t xml:space="preserve">Register aset (memorandum) — penyusutan garis lurus dihitung otomatis sampai Tanggal Laporan</t>
  </si>
  <si>
    <t xml:space="preserve">Tanggal Laporan:</t>
  </si>
  <si>
    <t xml:space="preserve">Nama Aset</t>
  </si>
  <si>
    <t xml:space="preserve">Lokasi</t>
  </si>
  <si>
    <t xml:space="preserve">Tgl Perolehan</t>
  </si>
  <si>
    <t xml:space="preserve">Nilai Perolehan</t>
  </si>
  <si>
    <t xml:space="preserve">Umur (thn)</t>
  </si>
  <si>
    <t xml:space="preserve">Penyusutan / thn</t>
  </si>
  <si>
    <t xml:space="preserve">Akum. Penyusutan</t>
  </si>
  <si>
    <t xml:space="preserve">Nilai Buku</t>
  </si>
  <si>
    <t xml:space="preserve">Kondisi</t>
  </si>
  <si>
    <t xml:space="preserve">Pemeliharaan Berikutnya</t>
  </si>
  <si>
    <t xml:space="preserve">Bangunan Masjid Utama</t>
  </si>
  <si>
    <t xml:space="preserve">Jl. Masjid No. 1</t>
  </si>
  <si>
    <t xml:space="preserve">Baik</t>
  </si>
  <si>
    <t xml:space="preserve">Karpet Sajadah Ruang Utama</t>
  </si>
  <si>
    <t xml:space="preserve">Ruang shalat utama</t>
  </si>
  <si>
    <t xml:space="preserve">AC Split 2 PK (6 unit)</t>
  </si>
  <si>
    <t xml:space="preserve">Ruang shalat &amp; aula</t>
  </si>
  <si>
    <t xml:space="preserve">Genset 10 kVA</t>
  </si>
  <si>
    <t xml:space="preserve">Gudang belakang</t>
  </si>
  <si>
    <t xml:space="preserve">Perlu servis</t>
  </si>
  <si>
    <t xml:space="preserve">Ambulans Operasional</t>
  </si>
  <si>
    <t xml:space="preserve">Halaman parkir</t>
  </si>
  <si>
    <t xml:space="preserve">Sound System Baru</t>
  </si>
  <si>
    <t xml:space="preserve">Aset tetap disajikan sebagai memorandum (basis kas). Sel bertanda kuning pada kolom Pemeliharaan Berikutnya = jatuh tempo ≤ 60 hari dari Tanggal Laporan.</t>
  </si>
  <si>
    <t xml:space="preserve">DASHBOARD KEUANGAN MASJID</t>
  </si>
  <si>
    <t xml:space="preserve">Seluruh angka diperbarui otomatis dari modul Penerimaan &amp; Pengeluaran — periode tahun berjalan</t>
  </si>
  <si>
    <t xml:space="preserve">SALDO PER JENIS DANA</t>
  </si>
  <si>
    <t xml:space="preserve">POSISI KAS &amp; TREN BULANAN</t>
  </si>
  <si>
    <t xml:space="preserve">Saldo Awal</t>
  </si>
  <si>
    <t xml:space="preserve">Penerimaan</t>
  </si>
  <si>
    <t xml:space="preserve">Pengeluaran</t>
  </si>
  <si>
    <t xml:space="preserve">Saldo Akhir</t>
  </si>
  <si>
    <t xml:space="preserve">No</t>
  </si>
  <si>
    <t xml:space="preserve">Bulan</t>
  </si>
  <si>
    <t xml:space="preserve">Saldo Akhir Bulan</t>
  </si>
  <si>
    <t xml:space="preserve">Januari</t>
  </si>
  <si>
    <t xml:space="preserve">Februari</t>
  </si>
  <si>
    <t xml:space="preserve">Maret</t>
  </si>
  <si>
    <t xml:space="preserve">April</t>
  </si>
  <si>
    <t xml:space="preserve">Mei</t>
  </si>
  <si>
    <t xml:space="preserve">Juni</t>
  </si>
  <si>
    <t xml:space="preserve">Juli</t>
  </si>
  <si>
    <t xml:space="preserve">Agustus</t>
  </si>
  <si>
    <t xml:space="preserve">September</t>
  </si>
  <si>
    <t xml:space="preserve">Oktober</t>
  </si>
  <si>
    <t xml:space="preserve">PENGELUARAN PER KATEGORI</t>
  </si>
  <si>
    <t xml:space="preserve">November</t>
  </si>
  <si>
    <t xml:space="preserve">Jumlah</t>
  </si>
  <si>
    <t xml:space="preserve">% dari Total</t>
  </si>
  <si>
    <t xml:space="preserve">Desember</t>
  </si>
  <si>
    <t xml:space="preserve">PENGGUNAAN DANA PER PROGRAM</t>
  </si>
  <si>
    <t xml:space="preserve">Neto</t>
  </si>
  <si>
    <t xml:space="preserve">Klik menu ⌂ Beranda untuk kembali ke halaman utama.</t>
  </si>
  <si>
    <t xml:space="preserve">BUKU KAS</t>
  </si>
  <si>
    <t xml:space="preserve">Rekapitulasi mutasi kas tunai per bulan — basis kas</t>
  </si>
  <si>
    <t xml:space="preserve">Mutasi Bersih</t>
  </si>
  <si>
    <t xml:space="preserve">Saldo Awal (1 Jan 2026)</t>
  </si>
  <si>
    <t xml:space="preserve">BUKU BANK</t>
  </si>
  <si>
    <t xml:space="preserve">Rekapitulasi mutasi rekening bank &amp; QRIS per bulan — basis kas</t>
  </si>
  <si>
    <t xml:space="preserve">MUTASI PER REKENING BANK</t>
  </si>
  <si>
    <t xml:space="preserve">Rekening</t>
  </si>
  <si>
    <t xml:space="preserve">Dana Masuk</t>
  </si>
  <si>
    <t xml:space="preserve">Dana Keluar</t>
  </si>
  <si>
    <t xml:space="preserve">Catatan: saldo awal per rekening dapat dirinci pada Master Data bila diperlukan.</t>
  </si>
  <si>
    <t xml:space="preserve">BUKU BESAR</t>
  </si>
  <si>
    <t xml:space="preserve">Saldo per akun — basis kas, dihitung otomatis dari seluruh transaksi</t>
  </si>
  <si>
    <t xml:space="preserve">Kode Akun</t>
  </si>
  <si>
    <t xml:space="preserve">Nama Akun</t>
  </si>
  <si>
    <t xml:space="preserve">Tipe</t>
  </si>
  <si>
    <t xml:space="preserve">Mutasi Debit</t>
  </si>
  <si>
    <t xml:space="preserve">Mutasi Kredit</t>
  </si>
  <si>
    <t xml:space="preserve">1-1000</t>
  </si>
  <si>
    <t xml:space="preserve">Kas Tunai</t>
  </si>
  <si>
    <t xml:space="preserve">Aset</t>
  </si>
  <si>
    <t xml:space="preserve">1-1100</t>
  </si>
  <si>
    <t xml:space="preserve">3-1000</t>
  </si>
  <si>
    <t xml:space="preserve">Aset Neto — Dana Operasional</t>
  </si>
  <si>
    <t xml:space="preserve">Aset Neto</t>
  </si>
  <si>
    <t xml:space="preserve">3-1001</t>
  </si>
  <si>
    <t xml:space="preserve">Aset Neto — Dana Pembangunan</t>
  </si>
  <si>
    <t xml:space="preserve">3-1002</t>
  </si>
  <si>
    <t xml:space="preserve">Aset Neto — Dana Zakat</t>
  </si>
  <si>
    <t xml:space="preserve">3-1003</t>
  </si>
  <si>
    <t xml:space="preserve">Aset Neto — Dana Infak</t>
  </si>
  <si>
    <t xml:space="preserve">3-1004</t>
  </si>
  <si>
    <t xml:space="preserve">Aset Neto — Dana Sedekah</t>
  </si>
  <si>
    <t xml:space="preserve">3-1005</t>
  </si>
  <si>
    <t xml:space="preserve">Aset Neto — Dana Wakaf</t>
  </si>
  <si>
    <t xml:space="preserve">3-1006</t>
  </si>
  <si>
    <t xml:space="preserve">Aset Neto — Dana Lainnya</t>
  </si>
  <si>
    <t xml:space="preserve">4-1000</t>
  </si>
  <si>
    <t xml:space="preserve">Penerimaan — Infak Jumat</t>
  </si>
  <si>
    <t xml:space="preserve">Pendapatan</t>
  </si>
  <si>
    <t xml:space="preserve">4-1001</t>
  </si>
  <si>
    <t xml:space="preserve">Penerimaan — Infak Harian</t>
  </si>
  <si>
    <t xml:space="preserve">4-1002</t>
  </si>
  <si>
    <t xml:space="preserve">Penerimaan — Kotak Amal</t>
  </si>
  <si>
    <t xml:space="preserve">4-1003</t>
  </si>
  <si>
    <t xml:space="preserve">Penerimaan — Zakat Fitrah</t>
  </si>
  <si>
    <t xml:space="preserve">4-1004</t>
  </si>
  <si>
    <t xml:space="preserve">Penerimaan — Zakat Maal</t>
  </si>
  <si>
    <t xml:space="preserve">4-1005</t>
  </si>
  <si>
    <t xml:space="preserve">Penerimaan — Wakaf Tunai</t>
  </si>
  <si>
    <t xml:space="preserve">4-1006</t>
  </si>
  <si>
    <t xml:space="preserve">Penerimaan — Hibah</t>
  </si>
  <si>
    <t xml:space="preserve">4-1007</t>
  </si>
  <si>
    <t xml:space="preserve">Penerimaan — Donasi Online</t>
  </si>
  <si>
    <t xml:space="preserve">4-1008</t>
  </si>
  <si>
    <t xml:space="preserve">Penerimaan — Pendapatan Sewa</t>
  </si>
  <si>
    <t xml:space="preserve">4-1009</t>
  </si>
  <si>
    <t xml:space="preserve">Penerimaan — Pendapatan Usaha</t>
  </si>
  <si>
    <t xml:space="preserve">4-1010</t>
  </si>
  <si>
    <t xml:space="preserve">Penerimaan — Kurban</t>
  </si>
  <si>
    <t xml:space="preserve">4-1011</t>
  </si>
  <si>
    <t xml:space="preserve">Penerimaan — Lainnya</t>
  </si>
  <si>
    <t xml:space="preserve">5-1000</t>
  </si>
  <si>
    <t xml:space="preserve">Penggunaan — Listrik &amp; Air</t>
  </si>
  <si>
    <t xml:space="preserve">Beban</t>
  </si>
  <si>
    <t xml:space="preserve">5-1001</t>
  </si>
  <si>
    <t xml:space="preserve">Penggunaan — Kebersihan &amp; Keamanan</t>
  </si>
  <si>
    <t xml:space="preserve">5-1002</t>
  </si>
  <si>
    <t xml:space="preserve">Penggunaan — Honorarium</t>
  </si>
  <si>
    <t xml:space="preserve">5-1003</t>
  </si>
  <si>
    <t xml:space="preserve">Penggunaan — Kegiatan Dakwah</t>
  </si>
  <si>
    <t xml:space="preserve">5-1004</t>
  </si>
  <si>
    <t xml:space="preserve">Penggunaan — Pendidikan (TPA)</t>
  </si>
  <si>
    <t xml:space="preserve">5-1005</t>
  </si>
  <si>
    <t xml:space="preserve">Penggunaan — Sosial &amp; Santunan</t>
  </si>
  <si>
    <t xml:space="preserve">5-1006</t>
  </si>
  <si>
    <t xml:space="preserve">Penggunaan — Ramadan</t>
  </si>
  <si>
    <t xml:space="preserve">5-1007</t>
  </si>
  <si>
    <t xml:space="preserve">Penggunaan — Kurban</t>
  </si>
  <si>
    <t xml:space="preserve">5-1008</t>
  </si>
  <si>
    <t xml:space="preserve">Penggunaan — Pembangunan</t>
  </si>
  <si>
    <t xml:space="preserve">5-1009</t>
  </si>
  <si>
    <t xml:space="preserve">Penggunaan — Pemeliharaan</t>
  </si>
  <si>
    <t xml:space="preserve">5-1010</t>
  </si>
  <si>
    <t xml:space="preserve">Penggunaan — Pembelian Aset</t>
  </si>
  <si>
    <t xml:space="preserve">5-1011</t>
  </si>
  <si>
    <t xml:space="preserve">Penggunaan — Administrasi &amp; Umum</t>
  </si>
  <si>
    <t xml:space="preserve">Akun pendapatan &amp; beban bersaldo periode berjalan (basis kas); akun aset neto menyajikan saldo awal dana sesuai Master Data.</t>
  </si>
  <si>
    <t xml:space="preserve">NERACA SALDO</t>
  </si>
  <si>
    <t xml:space="preserve">Per tanggal pelaporan — basis kas (aset tetap disajikan memorandum pada Daftar Aset)</t>
  </si>
  <si>
    <t xml:space="preserve">Kode</t>
  </si>
  <si>
    <t xml:space="preserve">Debit</t>
  </si>
  <si>
    <t xml:space="preserve">Kredit</t>
  </si>
  <si>
    <t xml:space="preserve">Aset Neto Awal (seluruh dana)</t>
  </si>
  <si>
    <t xml:space="preserve">LAPORAN POSISI KEUANGAN</t>
  </si>
  <si>
    <t xml:space="preserve">Sesuai ISAK 35 (entitas berorientasi nonlaba) — basis kas, per tanggal pelaporan</t>
  </si>
  <si>
    <t xml:space="preserve">ASET</t>
  </si>
  <si>
    <t xml:space="preserve">Kas dan Setara Kas — Kas Tunai</t>
  </si>
  <si>
    <t xml:space="preserve">Kas dan Setara Kas — Bank</t>
  </si>
  <si>
    <t xml:space="preserve">TOTAL ASET</t>
  </si>
  <si>
    <t xml:space="preserve">ASET NETO</t>
  </si>
  <si>
    <t xml:space="preserve">Tanpa Pembatasan dari Pemberi Sumber Daya</t>
  </si>
  <si>
    <t xml:space="preserve">Dengan Pembatasan dari Pemberi Sumber Daya</t>
  </si>
  <si>
    <t xml:space="preserve">TOTAL ASET NETO</t>
  </si>
  <si>
    <t xml:space="preserve">Cek: Total Aset = Total Aset Neto</t>
  </si>
  <si>
    <t xml:space="preserve">Memorandum: aset tetap &amp; inventaris disajikan pada sheet Daftar Aset (tidak dikapitalisasi dalam laporan basis kas).</t>
  </si>
  <si>
    <t xml:space="preserve">LAPORAN AKTIVITAS</t>
  </si>
  <si>
    <t xml:space="preserve">Perubahan aset neto per jenis dana &amp; klasifikasi pembatasan — sesuai ISAK 35</t>
  </si>
  <si>
    <t xml:space="preserve">Klasifikasi</t>
  </si>
  <si>
    <t xml:space="preserve">Penggunaan</t>
  </si>
  <si>
    <t xml:space="preserve">Perubahan Aset Neto</t>
  </si>
  <si>
    <t xml:space="preserve">Aset Neto Awal</t>
  </si>
  <si>
    <t xml:space="preserve">Aset Neto Akhir</t>
  </si>
  <si>
    <t xml:space="preserve">RINGKASAN MENURUT KLASIFIKASI PEMBATASAN</t>
  </si>
  <si>
    <t xml:space="preserve">TOTAL PERUBAHAN ASET NETO</t>
  </si>
  <si>
    <t xml:space="preserve">Klasifikasi pembatasan mengikuti kolom "Klasifikasi Aset Neto" pada Master Data.</t>
  </si>
  <si>
    <t xml:space="preserve">LAPORAN ARUS KAS</t>
  </si>
  <si>
    <t xml:space="preserve">Metode langsung — periode berjalan</t>
  </si>
  <si>
    <t xml:space="preserve">AKTIVITAS OPERASI</t>
  </si>
  <si>
    <t xml:space="preserve">Penerimaan dana dari jamaah, donatur, dan usaha</t>
  </si>
  <si>
    <t xml:space="preserve">Pengeluaran operasional dan program</t>
  </si>
  <si>
    <t xml:space="preserve">Kas Bersih dari Aktivitas Operasi</t>
  </si>
  <si>
    <t xml:space="preserve">AKTIVITAS INVESTASI</t>
  </si>
  <si>
    <t xml:space="preserve">Pengeluaran pembangunan dan pembelian aset</t>
  </si>
  <si>
    <t xml:space="preserve">Kas Bersih dari Aktivitas Investasi</t>
  </si>
  <si>
    <t xml:space="preserve">AKTIVITAS PENDANAAN</t>
  </si>
  <si>
    <t xml:space="preserve">Penerimaan/pengeluaran pendanaan</t>
  </si>
  <si>
    <t xml:space="preserve">Kas Bersih dari Aktivitas Pendanaan</t>
  </si>
  <si>
    <t xml:space="preserve">KENAIKAN (PENURUNAN) BERSIH KAS</t>
  </si>
  <si>
    <t xml:space="preserve">Kas dan Setara Kas Awal Periode</t>
  </si>
  <si>
    <t xml:space="preserve">KAS DAN SETARA KAS AKHIR PERIODE</t>
  </si>
  <si>
    <t xml:space="preserve">Cek: saldo akhir = Total Saldo Dana Dashboard</t>
  </si>
  <si>
    <t xml:space="preserve">LAPORAN DANA &amp; PROGRAM</t>
  </si>
  <si>
    <t xml:space="preserve">Laporan per jenis dana (operasional, pembangunan, zakat, infak, sedekah, wakaf) dan per program</t>
  </si>
  <si>
    <t xml:space="preserve">A.  LAPORAN PER JENIS DANA</t>
  </si>
  <si>
    <t xml:space="preserve">% Penggunaan</t>
  </si>
  <si>
    <t xml:space="preserve">B.  LAPORAN PER PROGRAM / KEGIATAN</t>
  </si>
  <si>
    <t xml:space="preserve">C.  RINCIAN DANA TERPILIH</t>
  </si>
  <si>
    <t xml:space="preserve">Jenis Dana:</t>
  </si>
  <si>
    <t xml:space="preserve">◀  pilih jenis dana dari dropdown (sel kuning)</t>
  </si>
  <si>
    <t xml:space="preserve">Total Penggunaan</t>
  </si>
  <si>
    <t xml:space="preserve">Rincian Penggunaan per Kategori</t>
  </si>
  <si>
    <t xml:space="preserve">Bagian C menampilkan rincian penggunaan untuk satu jenis dana sesuai pilihan pada sel kuning.</t>
  </si>
  <si>
    <t xml:space="preserve">REKAP DONATUR</t>
  </si>
  <si>
    <t xml:space="preserve">Rekapitulasi kontribusi per donatur — otomatis dari modul Penerimaan</t>
  </si>
  <si>
    <t xml:space="preserve">Total Donasi</t>
  </si>
  <si>
    <t xml:space="preserve">Rata-rata</t>
  </si>
  <si>
    <t xml:space="preserve">Nama donatur diambil dari Master Data. Donasi yang tercatat atas nama "Hamba Allah" atau "Jamaah Masjid" digabung dalam satu baris.</t>
  </si>
  <si>
    <t xml:space="preserve">ANALISIS &amp; PROYEKSI KEUANGAN</t>
  </si>
  <si>
    <t xml:space="preserve">Indikator kinerja, tren, dan prediksi kebutuhan kas — dihitung otomatis</t>
  </si>
  <si>
    <t xml:space="preserve">A.  INDIKATOR UTAMA</t>
  </si>
  <si>
    <t xml:space="preserve">Bulan terakhir dengan transaksi</t>
  </si>
  <si>
    <t xml:space="preserve">Rasio biaya operasional (pengeluaran dana operasional ÷ total penerimaan)</t>
  </si>
  <si>
    <t xml:space="preserve">Persentase dana pembangunan &amp; wakaf dari total penerimaan</t>
  </si>
  <si>
    <t xml:space="preserve">Persentase penggunaan dana (total pengeluaran ÷ dana tersedia)</t>
  </si>
  <si>
    <t xml:space="preserve">Rata-rata penerimaan 3 bulan terakhir</t>
  </si>
  <si>
    <t xml:space="preserve">Rata-rata pengeluaran 3 bulan terakhir</t>
  </si>
  <si>
    <t xml:space="preserve">B.  PREDIKSI KEBUTUHAN KAS  (rata-rata 3 bulan terakhir)</t>
  </si>
  <si>
    <t xml:space="preserve">Saldo dana saat ini</t>
  </si>
  <si>
    <t xml:space="preserve">Proyeksi saldo 1 bulan ke depan</t>
  </si>
  <si>
    <t xml:space="preserve">Proyeksi saldo 2 bulan ke depan</t>
  </si>
  <si>
    <t xml:space="preserve">Proyeksi saldo 3 bulan ke depan</t>
  </si>
  <si>
    <t xml:space="preserve">Saldo minimum kas yang dijaga (kebijakan pengurus)</t>
  </si>
  <si>
    <t xml:space="preserve">PERINGATAN DINI</t>
  </si>
  <si>
    <t xml:space="preserve">C.  PERTUMBUHAN PENERIMAAN BULANAN</t>
  </si>
  <si>
    <t xml:space="preserve">Pertumbuhan Penerimaan</t>
  </si>
  <si>
    <t xml:space="preserve">—</t>
  </si>
  <si>
    <t xml:space="preserve">Proyeksi menggunakan rata-rata mutasi 3 bulan terakhir dan bersifat indikatif — bukan komitmen anggaran. Batas saldo minimum (sel biru) ditetapkan oleh pengurus.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</si>
</sst>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&quot;Rp &quot;#,##0;[RED]&quot;(Rp &quot;#,##0\);&quot;Rp &quot;0"/>
    <numFmt numFmtId="166" formatCode="#,##0&quot; transaksi&quot;"/>
    <numFmt numFmtId="167" formatCode="#,##0;[RED]\(#,##0\);\–"/>
    <numFmt numFmtId="168" formatCode="#,##0"/>
    <numFmt numFmtId="169" formatCode="dd\ mmm\ yyyy"/>
    <numFmt numFmtId="170" formatCode="0"/>
    <numFmt numFmtId="171" formatCode="0.0%;[RED]\-0.0%;\–"/>
    <numFmt numFmtId="172" formatCode="#,##0,,&quot;jt&quot;"/>
    <numFmt numFmtId="173" formatCode="&quot;bulan ke-&quot;0"/>
  </numFmts>
  <fonts count="3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18211D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8.5"/>
      <color rgb="FFBFD8CC"/>
      <name val="Arial"/>
      <family val="0"/>
      <charset val="1"/>
    </font>
    <font>
      <b val="true"/>
      <sz val="9.5"/>
      <color rgb="FF0B3D2E"/>
      <name val="Arial"/>
      <family val="0"/>
      <charset val="1"/>
    </font>
    <font>
      <b val="true"/>
      <sz val="8.5"/>
      <color rgb="FF6E7F78"/>
      <name val="Arial"/>
      <family val="0"/>
      <charset val="1"/>
    </font>
    <font>
      <b val="true"/>
      <sz val="14"/>
      <color rgb="FF157A52"/>
      <name val="Arial"/>
      <family val="0"/>
      <charset val="1"/>
    </font>
    <font>
      <b val="true"/>
      <sz val="14"/>
      <color rgb="FFA9231A"/>
      <name val="Arial"/>
      <family val="0"/>
      <charset val="1"/>
    </font>
    <font>
      <b val="true"/>
      <sz val="14"/>
      <color rgb="FF0B3D2E"/>
      <name val="Arial"/>
      <family val="0"/>
      <charset val="1"/>
    </font>
    <font>
      <b val="true"/>
      <sz val="10"/>
      <color rgb="FF0B3D2E"/>
      <name val="Arial"/>
      <family val="0"/>
      <charset val="1"/>
    </font>
    <font>
      <sz val="9.5"/>
      <color rgb="FF6E7F78"/>
      <name val="Arial"/>
      <family val="0"/>
      <charset val="1"/>
    </font>
    <font>
      <b val="true"/>
      <sz val="10"/>
      <color rgb="FF1D4ED8"/>
      <name val="Arial"/>
      <family val="0"/>
      <charset val="1"/>
    </font>
    <font>
      <sz val="9"/>
      <color rgb="FF18211D"/>
      <name val="Arial"/>
      <family val="0"/>
      <charset val="1"/>
    </font>
    <font>
      <i val="true"/>
      <sz val="8.5"/>
      <color rgb="FF6E7F78"/>
      <name val="Arial"/>
      <family val="0"/>
      <charset val="1"/>
    </font>
    <font>
      <b val="true"/>
      <u val="single"/>
      <sz val="9.5"/>
      <color rgb="FFE8CE79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.5"/>
      <color rgb="FF1D4ED8"/>
      <name val="Arial"/>
      <family val="0"/>
      <charset val="1"/>
    </font>
    <font>
      <sz val="9.5"/>
      <color rgb="FF18211D"/>
      <name val="Arial"/>
      <family val="0"/>
      <charset val="1"/>
    </font>
    <font>
      <b val="true"/>
      <sz val="9"/>
      <color rgb="FF6E7F78"/>
      <name val="Arial"/>
      <family val="0"/>
      <charset val="1"/>
    </font>
    <font>
      <b val="true"/>
      <sz val="10"/>
      <color rgb="FF116B3C"/>
      <name val="Arial"/>
      <family val="0"/>
      <charset val="1"/>
    </font>
    <font>
      <b val="true"/>
      <sz val="11.5"/>
      <color rgb="FF157A52"/>
      <name val="Arial"/>
      <family val="0"/>
      <charset val="1"/>
    </font>
    <font>
      <sz val="9"/>
      <color rgb="FF6E7F78"/>
      <name val="Arial"/>
      <family val="0"/>
      <charset val="1"/>
    </font>
    <font>
      <sz val="9"/>
      <color rgb="FF1D4ED8"/>
      <name val="Arial"/>
      <family val="0"/>
      <charset val="1"/>
    </font>
    <font>
      <b val="true"/>
      <sz val="11.5"/>
      <color rgb="FFA9231A"/>
      <name val="Arial"/>
      <family val="0"/>
      <charset val="1"/>
    </font>
    <font>
      <b val="true"/>
      <sz val="9.5"/>
      <color rgb="FF1D4ED8"/>
      <name val="Arial"/>
      <family val="0"/>
      <charset val="1"/>
    </font>
    <font>
      <b val="true"/>
      <sz val="9.5"/>
      <color rgb="FF6E7F78"/>
      <name val="Arial"/>
      <family val="0"/>
      <charset val="1"/>
    </font>
    <font>
      <b val="true"/>
      <sz val="10.5"/>
      <color rgb="FF116B3C"/>
      <name val="Arial"/>
      <family val="0"/>
      <charset val="1"/>
    </font>
    <font>
      <b val="true"/>
      <sz val="11"/>
      <color rgb="FF0B3D2E"/>
      <name val="Arial"/>
      <family val="2"/>
    </font>
    <font>
      <sz val="8"/>
      <color rgb="FF6E7F78"/>
      <name val="Arial"/>
      <family val="2"/>
    </font>
    <font>
      <sz val="8"/>
      <color rgb="FF18211D"/>
      <name val="Arial"/>
      <family val="2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.5"/>
      <color rgb="FF0B3D2E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color rgb="FF1D4ED8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EFF3F1"/>
        <bgColor rgb="FFF0F4F2"/>
      </patternFill>
    </fill>
    <fill>
      <patternFill patternType="solid">
        <fgColor rgb="FF0B3D2E"/>
        <bgColor rgb="FF11543C"/>
      </patternFill>
    </fill>
    <fill>
      <patternFill patternType="solid">
        <fgColor rgb="FFC9A227"/>
        <bgColor rgb="FFD9B85A"/>
      </patternFill>
    </fill>
    <fill>
      <patternFill patternType="solid">
        <fgColor rgb="FFFFFFFF"/>
        <bgColor rgb="FFF7FAF9"/>
      </patternFill>
    </fill>
    <fill>
      <patternFill patternType="solid">
        <fgColor rgb="FF157A52"/>
        <bgColor rgb="FF116B3C"/>
      </patternFill>
    </fill>
    <fill>
      <patternFill patternType="solid">
        <fgColor rgb="FFA9231A"/>
        <bgColor rgb="FF993366"/>
      </patternFill>
    </fill>
    <fill>
      <patternFill patternType="solid">
        <fgColor rgb="FF11543C"/>
        <bgColor rgb="FF116B3C"/>
      </patternFill>
    </fill>
    <fill>
      <patternFill patternType="solid">
        <fgColor rgb="FFFBF6E7"/>
        <bgColor rgb="FFFCF2E2"/>
      </patternFill>
    </fill>
    <fill>
      <patternFill patternType="solid">
        <fgColor rgb="FFE6F3EB"/>
        <bgColor rgb="FFEAEEEC"/>
      </patternFill>
    </fill>
    <fill>
      <patternFill patternType="solid">
        <fgColor rgb="FFF7FAF9"/>
        <bgColor rgb="FFF2F6F4"/>
      </patternFill>
    </fill>
    <fill>
      <patternFill patternType="solid">
        <fgColor rgb="FFF2F6F4"/>
        <bgColor rgb="FFF0F4F2"/>
      </patternFill>
    </fill>
    <fill>
      <patternFill patternType="solid">
        <fgColor rgb="FFF0F5FF"/>
        <bgColor rgb="FFF2F6F4"/>
      </patternFill>
    </fill>
  </fills>
  <borders count="4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C9A227"/>
      </bottom>
      <diagonal/>
    </border>
    <border diagonalUp="false" diagonalDown="false">
      <left style="thin">
        <color rgb="FFE2E8E5"/>
      </left>
      <right style="thin">
        <color rgb="FFE2E8E5"/>
      </right>
      <top style="thin">
        <color rgb="FFE2E8E5"/>
      </top>
      <bottom/>
      <diagonal/>
    </border>
    <border diagonalUp="false" diagonalDown="false">
      <left style="thin">
        <color rgb="FFE2E8E5"/>
      </left>
      <right style="thin">
        <color rgb="FFE2E8E5"/>
      </right>
      <top/>
      <bottom/>
      <diagonal/>
    </border>
    <border diagonalUp="false" diagonalDown="false">
      <left style="thick">
        <color rgb="FFC9A227"/>
      </left>
      <right style="thin">
        <color rgb="FFE2E8E5"/>
      </right>
      <top style="thin">
        <color rgb="FFE2E8E5"/>
      </top>
      <bottom style="thin">
        <color rgb="FFE2E8E5"/>
      </bottom>
      <diagonal/>
    </border>
    <border diagonalUp="false" diagonalDown="false">
      <left style="thin">
        <color rgb="FFE2E8E5"/>
      </left>
      <right/>
      <top style="thin">
        <color rgb="FFE2E8E5"/>
      </top>
      <bottom style="thin">
        <color rgb="FFE2E8E5"/>
      </bottom>
      <diagonal/>
    </border>
    <border diagonalUp="false" diagonalDown="false">
      <left/>
      <right style="thin">
        <color rgb="FFE2E8E5"/>
      </right>
      <top style="thin">
        <color rgb="FFE2E8E5"/>
      </top>
      <bottom style="thin">
        <color rgb="FFE2E8E5"/>
      </bottom>
      <diagonal/>
    </border>
    <border diagonalUp="false" diagonalDown="false">
      <left style="thin">
        <color rgb="FFE2E8E5"/>
      </left>
      <right/>
      <top/>
      <bottom style="thin">
        <color rgb="FFE2E8E5"/>
      </bottom>
      <diagonal/>
    </border>
    <border diagonalUp="false" diagonalDown="false">
      <left/>
      <right style="thin">
        <color rgb="FFE2E8E5"/>
      </right>
      <top/>
      <bottom style="thin">
        <color rgb="FFE2E8E5"/>
      </bottom>
      <diagonal/>
    </border>
    <border diagonalUp="false" diagonalDown="false">
      <left style="thin">
        <color rgb="FFE2E8E5"/>
      </left>
      <right style="thin">
        <color rgb="FFE2E8E5"/>
      </right>
      <top style="thin">
        <color rgb="FFE2E8E5"/>
      </top>
      <bottom style="thin">
        <color rgb="FFF0F4F2"/>
      </bottom>
      <diagonal/>
    </border>
    <border diagonalUp="false" diagonalDown="false">
      <left style="thin">
        <color rgb="FFE2E8E5"/>
      </left>
      <right style="thin">
        <color rgb="FFE2E8E5"/>
      </right>
      <top/>
      <bottom style="thin">
        <color rgb="FFF0F4F2"/>
      </bottom>
      <diagonal/>
    </border>
    <border diagonalUp="false" diagonalDown="false">
      <left style="thin">
        <color rgb="FFE2E8E5"/>
      </left>
      <right style="thin">
        <color rgb="FFE2E8E5"/>
      </right>
      <top/>
      <bottom style="thin">
        <color rgb="FFE2E8E5"/>
      </bottom>
      <diagonal/>
    </border>
    <border diagonalUp="false" diagonalDown="false">
      <left style="thin">
        <color rgb="FFE2E8E5"/>
      </left>
      <right/>
      <top style="thin">
        <color rgb="FFE2E8E5"/>
      </top>
      <bottom style="thin">
        <color rgb="FFF0F4F2"/>
      </bottom>
      <diagonal/>
    </border>
    <border diagonalUp="false" diagonalDown="false">
      <left/>
      <right style="thin">
        <color rgb="FFE2E8E5"/>
      </right>
      <top style="thin">
        <color rgb="FFE2E8E5"/>
      </top>
      <bottom style="thin">
        <color rgb="FFF0F4F2"/>
      </bottom>
      <diagonal/>
    </border>
    <border diagonalUp="false" diagonalDown="false">
      <left style="thin">
        <color rgb="FFE2E8E5"/>
      </left>
      <right/>
      <top/>
      <bottom style="thin">
        <color rgb="FFF0F4F2"/>
      </bottom>
      <diagonal/>
    </border>
    <border diagonalUp="false" diagonalDown="false">
      <left/>
      <right style="thin">
        <color rgb="FFE2E8E5"/>
      </right>
      <top/>
      <bottom style="thin">
        <color rgb="FFF0F4F2"/>
      </bottom>
      <diagonal/>
    </border>
    <border diagonalUp="false" diagonalDown="false">
      <left style="thin">
        <color rgb="FFE2E8E5"/>
      </left>
      <right/>
      <top style="medium">
        <color rgb="FFC9A227"/>
      </top>
      <bottom style="thin">
        <color rgb="FFE2E8E5"/>
      </bottom>
      <diagonal/>
    </border>
    <border diagonalUp="false" diagonalDown="false">
      <left/>
      <right style="thin">
        <color rgb="FFE2E8E5"/>
      </right>
      <top style="medium">
        <color rgb="FFC9A227"/>
      </top>
      <bottom style="thin">
        <color rgb="FFE2E8E5"/>
      </bottom>
      <diagonal/>
    </border>
    <border diagonalUp="false" diagonalDown="false">
      <left style="thin">
        <color rgb="FF116B3C"/>
      </left>
      <right style="thin">
        <color rgb="FF116B3C"/>
      </right>
      <top style="thin">
        <color rgb="FF116B3C"/>
      </top>
      <bottom style="thin">
        <color rgb="FF116B3C"/>
      </bottom>
      <diagonal/>
    </border>
    <border diagonalUp="false" diagonalDown="false">
      <left/>
      <right/>
      <top style="thin">
        <color rgb="FFE2E8E5"/>
      </top>
      <bottom style="thin">
        <color rgb="FFE2E8E5"/>
      </bottom>
      <diagonal/>
    </border>
    <border diagonalUp="false" diagonalDown="false">
      <left/>
      <right/>
      <top/>
      <bottom style="thin">
        <color rgb="FFE2E8E5"/>
      </bottom>
      <diagonal/>
    </border>
    <border diagonalUp="false" diagonalDown="false">
      <left style="thin">
        <color rgb="FFE8CE79"/>
      </left>
      <right/>
      <top style="medium">
        <color rgb="FFC9A227"/>
      </top>
      <bottom style="thin">
        <color rgb="FFE8CE79"/>
      </bottom>
      <diagonal/>
    </border>
    <border diagonalUp="false" diagonalDown="false">
      <left/>
      <right/>
      <top style="medium">
        <color rgb="FFC9A227"/>
      </top>
      <bottom style="thin">
        <color rgb="FFE8CE79"/>
      </bottom>
      <diagonal/>
    </border>
    <border diagonalUp="false" diagonalDown="false">
      <left/>
      <right style="thin">
        <color rgb="FFE8CE79"/>
      </right>
      <top style="medium">
        <color rgb="FFC9A227"/>
      </top>
      <bottom style="thin">
        <color rgb="FFE8CE79"/>
      </bottom>
      <diagonal/>
    </border>
    <border diagonalUp="false" diagonalDown="false">
      <left style="thin">
        <color rgb="FFE8CE79"/>
      </left>
      <right/>
      <top style="thin">
        <color rgb="FFE8CE79"/>
      </top>
      <bottom style="thin">
        <color rgb="FFE8CE79"/>
      </bottom>
      <diagonal/>
    </border>
    <border diagonalUp="false" diagonalDown="false">
      <left/>
      <right/>
      <top style="thin">
        <color rgb="FFE8CE79"/>
      </top>
      <bottom style="thin">
        <color rgb="FFE8CE79"/>
      </bottom>
      <diagonal/>
    </border>
    <border diagonalUp="false" diagonalDown="false">
      <left/>
      <right style="thin">
        <color rgb="FFE8CE79"/>
      </right>
      <top style="thin">
        <color rgb="FFE8CE79"/>
      </top>
      <bottom style="thin">
        <color rgb="FFE8CE79"/>
      </bottom>
      <diagonal/>
    </border>
    <border diagonalUp="false" diagonalDown="false">
      <left style="thin">
        <color rgb="FFE2E8E5"/>
      </left>
      <right/>
      <top style="thin">
        <color rgb="FFE2E8E5"/>
      </top>
      <bottom style="medium">
        <color rgb="FFC9A227"/>
      </bottom>
      <diagonal/>
    </border>
    <border diagonalUp="false" diagonalDown="false">
      <left/>
      <right style="thin">
        <color rgb="FFE2E8E5"/>
      </right>
      <top style="thin">
        <color rgb="FFE2E8E5"/>
      </top>
      <bottom style="medium">
        <color rgb="FFC9A227"/>
      </bottom>
      <diagonal/>
    </border>
    <border diagonalUp="false" diagonalDown="false">
      <left style="thin">
        <color rgb="FFE2E8E5"/>
      </left>
      <right/>
      <top style="thin">
        <color rgb="FFC7D2CD"/>
      </top>
      <bottom/>
      <diagonal/>
    </border>
    <border diagonalUp="false" diagonalDown="false">
      <left/>
      <right style="thin">
        <color rgb="FFE2E8E5"/>
      </right>
      <top style="thin">
        <color rgb="FFC7D2CD"/>
      </top>
      <bottom/>
      <diagonal/>
    </border>
    <border diagonalUp="false" diagonalDown="false">
      <left style="thin">
        <color rgb="FFE2E8E5"/>
      </left>
      <right/>
      <top/>
      <bottom style="medium">
        <color rgb="FFC9A227"/>
      </bottom>
      <diagonal/>
    </border>
    <border diagonalUp="false" diagonalDown="false">
      <left/>
      <right style="thin">
        <color rgb="FFE2E8E5"/>
      </right>
      <top/>
      <bottom style="medium">
        <color rgb="FFC9A227"/>
      </bottom>
      <diagonal/>
    </border>
    <border diagonalUp="false" diagonalDown="false">
      <left style="thin">
        <color rgb="FFE2E8E5"/>
      </left>
      <right/>
      <top style="thin">
        <color rgb="FFC7D2CD"/>
      </top>
      <bottom style="thin">
        <color rgb="FFE2E8E5"/>
      </bottom>
      <diagonal/>
    </border>
    <border diagonalUp="false" diagonalDown="false">
      <left/>
      <right style="thin">
        <color rgb="FFE2E8E5"/>
      </right>
      <top style="thin">
        <color rgb="FFC7D2CD"/>
      </top>
      <bottom style="thin">
        <color rgb="FFE2E8E5"/>
      </bottom>
      <diagonal/>
    </border>
    <border diagonalUp="false" diagonalDown="false">
      <left style="thin">
        <color rgb="FFE8CE79"/>
      </left>
      <right/>
      <top style="thin">
        <color rgb="FFE8CE79"/>
      </top>
      <bottom/>
      <diagonal/>
    </border>
    <border diagonalUp="false" diagonalDown="false">
      <left/>
      <right style="thin">
        <color rgb="FFE8CE79"/>
      </right>
      <top style="thin">
        <color rgb="FFE8CE79"/>
      </top>
      <bottom/>
      <diagonal/>
    </border>
    <border diagonalUp="false" diagonalDown="false">
      <left style="thin">
        <color rgb="FFE8CE79"/>
      </left>
      <right/>
      <top/>
      <bottom style="thin">
        <color rgb="FFF0F4F2"/>
      </bottom>
      <diagonal/>
    </border>
    <border diagonalUp="false" diagonalDown="false">
      <left/>
      <right style="thin">
        <color rgb="FFE8CE79"/>
      </right>
      <top/>
      <bottom style="thin">
        <color rgb="FFF0F4F2"/>
      </bottom>
      <diagonal/>
    </border>
    <border diagonalUp="false" diagonalDown="false">
      <left style="thin">
        <color rgb="FFE8CE79"/>
      </left>
      <right/>
      <top/>
      <bottom style="thin">
        <color rgb="FFE8CE79"/>
      </bottom>
      <diagonal/>
    </border>
    <border diagonalUp="false" diagonalDown="false">
      <left/>
      <right style="thin">
        <color rgb="FFE8CE79"/>
      </right>
      <top/>
      <bottom style="thin">
        <color rgb="FFE8CE79"/>
      </bottom>
      <diagonal/>
    </border>
    <border diagonalUp="false" diagonalDown="false">
      <left style="medium">
        <color rgb="FFC9A227"/>
      </left>
      <right style="medium">
        <color rgb="FFC9A227"/>
      </right>
      <top style="medium">
        <color rgb="FFC9A227"/>
      </top>
      <bottom style="medium">
        <color rgb="FFC9A227"/>
      </bottom>
      <diagonal/>
    </border>
    <border diagonalUp="false" diagonalDown="false">
      <left style="thin">
        <color rgb="FF1D4ED8"/>
      </left>
      <right style="thin">
        <color rgb="FF1D4ED8"/>
      </right>
      <top style="thin">
        <color rgb="FF1D4ED8"/>
      </top>
      <bottom style="thin">
        <color rgb="FF1D4E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5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7" fillId="5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5" fillId="5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1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5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5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5" borderId="1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9" borderId="1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9" borderId="1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1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3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3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4" fillId="9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5" borderId="1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4" fillId="9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1" borderId="2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11" borderId="2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11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9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2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5" borderId="2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6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6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5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7" fillId="5" borderId="2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0" fillId="5" borderId="2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20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1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7" fillId="11" borderId="2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0" fillId="11" borderId="2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20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2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9" borderId="2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2" fillId="9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2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5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14" fillId="5" borderId="1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4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21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2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9" borderId="2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4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20" fillId="5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2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0" fillId="11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11" borderId="2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9" borderId="2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3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9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9" fillId="1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9" borderId="2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9" borderId="2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7" fillId="9" borderId="2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3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11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35" fillId="9" borderId="2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35" fillId="9" borderId="2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0" fillId="5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0" fillId="5" borderId="1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6" fillId="3" borderId="2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6" fillId="3" borderId="2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12" borderId="2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12" borderId="3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6" fillId="3" borderId="3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6" fillId="3" borderId="3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12" borderId="3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12" borderId="3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2" fillId="9" borderId="3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9" borderId="3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3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0" fillId="5" borderId="3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37" fillId="3" borderId="3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37" fillId="3" borderId="4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8" fillId="9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2" fillId="5" borderId="1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5" fillId="9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35" fillId="9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3" fillId="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9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3" fontId="12" fillId="5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1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1" fontId="12" fillId="5" borderId="1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2" fillId="5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5" fillId="9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35" fillId="9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4" fillId="13" borderId="4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28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8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ont>
        <b val="1"/>
        <color rgb="FF116B3C"/>
      </font>
      <fill>
        <patternFill>
          <bgColor rgb="FFE6F3EB"/>
        </patternFill>
      </fill>
    </dxf>
    <dxf>
      <font>
        <b val="1"/>
        <color rgb="FFA35A08"/>
      </font>
      <fill>
        <patternFill>
          <bgColor rgb="FFFCF2E2"/>
        </patternFill>
      </fill>
    </dxf>
    <dxf>
      <font>
        <b val="1"/>
        <color rgb="FFA9231A"/>
      </font>
      <fill>
        <patternFill>
          <bgColor rgb="FFFBEBE8"/>
        </patternFill>
      </fill>
    </dxf>
    <dxf>
      <fill>
        <patternFill patternType="solid">
          <fgColor rgb="FF0B3D2E"/>
          <bgColor rgb="FF000000"/>
        </patternFill>
      </fill>
    </dxf>
    <dxf>
      <fill>
        <patternFill patternType="solid">
          <fgColor rgb="FFFBF6E7"/>
          <bgColor rgb="FF000000"/>
        </patternFill>
      </fill>
    </dxf>
    <dxf>
      <fill>
        <patternFill patternType="solid">
          <fgColor rgb="FF6E7F78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7FAF9"/>
          <bgColor rgb="FF000000"/>
        </patternFill>
      </fill>
    </dxf>
    <dxf>
      <fill>
        <patternFill patternType="solid">
          <fgColor rgb="FF1D4ED8"/>
          <bgColor rgb="FF000000"/>
        </patternFill>
      </fill>
    </dxf>
    <dxf>
      <font>
        <b val="1"/>
        <color rgb="FFA9231A"/>
      </font>
    </dxf>
    <dxf>
      <font>
        <b val="1"/>
        <color rgb="FF8A6D14"/>
      </font>
      <fill>
        <patternFill>
          <bgColor rgb="FFFBF6E7"/>
        </patternFill>
      </fill>
    </dxf>
    <dxf>
      <font>
        <b val="1"/>
        <color rgb="FF1F4E9C"/>
      </font>
      <fill>
        <patternFill>
          <bgColor rgb="FFEAF0FB"/>
        </patternFill>
      </fill>
    </dxf>
    <dxf>
      <font>
        <b val="1"/>
        <color rgb="FF116B3C"/>
      </font>
    </dxf>
  </dxfs>
  <colors>
    <indexedColors>
      <rgbColor rgb="FF000000"/>
      <rgbColor rgb="FFFFFFFF"/>
      <rgbColor rgb="FFFF0000"/>
      <rgbColor rgb="FF00FF00"/>
      <rgbColor rgb="FF0000FF"/>
      <rgbColor rgb="FFEFF3F1"/>
      <rgbColor rgb="FFFF00FF"/>
      <rgbColor rgb="FF00FFFF"/>
      <rgbColor rgb="FF800000"/>
      <rgbColor rgb="FF116B3C"/>
      <rgbColor rgb="FF000080"/>
      <rgbColor rgb="FF8A6D14"/>
      <rgbColor rgb="FF800080"/>
      <rgbColor rgb="FF157A52"/>
      <rgbColor rgb="FFB9C7C1"/>
      <rgbColor rgb="FF6E7F78"/>
      <rgbColor rgb="FFF0F5FF"/>
      <rgbColor rgb="FFA35A08"/>
      <rgbColor rgb="FFFBF6E7"/>
      <rgbColor rgb="FFE6F3EB"/>
      <rgbColor rgb="FF660066"/>
      <rgbColor rgb="FFF2F6F4"/>
      <rgbColor rgb="FF1D4ED8"/>
      <rgbColor rgb="FFC7D2CD"/>
      <rgbColor rgb="FF000080"/>
      <rgbColor rgb="FFFF00FF"/>
      <rgbColor rgb="FFF0F4F2"/>
      <rgbColor rgb="FF00FFFF"/>
      <rgbColor rgb="FF800080"/>
      <rgbColor rgb="FF800000"/>
      <rgbColor rgb="FF2F6F58"/>
      <rgbColor rgb="FF0000FF"/>
      <rgbColor rgb="FF00CCFF"/>
      <rgbColor rgb="FFEAF0FB"/>
      <rgbColor rgb="FFE2E8E5"/>
      <rgbColor rgb="FFFCF2E2"/>
      <rgbColor rgb="FFBFD8CC"/>
      <rgbColor rgb="FFFBEBE8"/>
      <rgbColor rgb="FFEAEEEC"/>
      <rgbColor rgb="FFE8CE79"/>
      <rgbColor rgb="FF3366FF"/>
      <rgbColor rgb="FF33CCCC"/>
      <rgbColor rgb="FFF7FAF9"/>
      <rgbColor rgb="FFD9B85A"/>
      <rgbColor rgb="FFC9A227"/>
      <rgbColor rgb="FFFF6600"/>
      <rgbColor rgb="FF4F81BD"/>
      <rgbColor rgb="FF8AA79B"/>
      <rgbColor rgb="FF11543C"/>
      <rgbColor rgb="FF339966"/>
      <rgbColor rgb="FF0B3D2E"/>
      <rgbColor rgb="FF333300"/>
      <rgbColor rgb="FFA9231A"/>
      <rgbColor rgb="FF993366"/>
      <rgbColor rgb="FF1F4E9C"/>
      <rgbColor rgb="FF1821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Tren Penerimaan vs Pengeluaran Bulanan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Dashboard!J9</c:f>
              <c:strCache>
                <c:ptCount val="1"/>
                <c:pt idx="0">
                  <c:v>Penerimaan</c:v>
                </c:pt>
              </c:strCache>
            </c:strRef>
          </c:tx>
          <c:spPr>
            <a:solidFill>
              <a:srgbClr val="157a52"/>
            </a:solidFill>
            <a:ln w="21960">
              <a:solidFill>
                <a:srgbClr val="157a52"/>
              </a:solidFill>
              <a:round/>
            </a:ln>
          </c:spPr>
          <c:marker>
            <c:symbol val="circle"/>
            <c:size val="6"/>
            <c:spPr>
              <a:solidFill>
                <a:srgbClr val="157a52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Dashboard!$I$10:$I$21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Dashboard!$J$10:$J$21</c:f>
              <c:numCache>
                <c:formatCode>#,##0;[RED]\(#,##0\);\–</c:formatCode>
                <c:ptCount val="12"/>
                <c:pt idx="0">
                  <c:v>34280000</c:v>
                </c:pt>
                <c:pt idx="1">
                  <c:v>33860000</c:v>
                </c:pt>
                <c:pt idx="2">
                  <c:v>54590000</c:v>
                </c:pt>
                <c:pt idx="3">
                  <c:v>40030000</c:v>
                </c:pt>
                <c:pt idx="4">
                  <c:v>36030000</c:v>
                </c:pt>
                <c:pt idx="5">
                  <c:v>45260000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Dashboard!K9</c:f>
              <c:strCache>
                <c:ptCount val="1"/>
                <c:pt idx="0">
                  <c:v>Pengeluaran</c:v>
                </c:pt>
              </c:strCache>
            </c:strRef>
          </c:tx>
          <c:spPr>
            <a:solidFill>
              <a:srgbClr val="c9a227"/>
            </a:solidFill>
            <a:ln w="21960">
              <a:solidFill>
                <a:srgbClr val="c9a227"/>
              </a:solidFill>
              <a:round/>
            </a:ln>
          </c:spPr>
          <c:marker>
            <c:symbol val="circle"/>
            <c:size val="6"/>
            <c:spPr>
              <a:solidFill>
                <a:srgbClr val="c9a227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Dashboard!$I$10:$I$21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Dashboard!$K$10:$K$21</c:f>
              <c:numCache>
                <c:formatCode>#,##0;[RED]\(#,##0\);\–</c:formatCode>
                <c:ptCount val="12"/>
                <c:pt idx="0">
                  <c:v>22285000</c:v>
                </c:pt>
                <c:pt idx="1">
                  <c:v>11520000</c:v>
                </c:pt>
                <c:pt idx="2">
                  <c:v>48705000</c:v>
                </c:pt>
                <c:pt idx="3">
                  <c:v>11890000</c:v>
                </c:pt>
                <c:pt idx="4">
                  <c:v>22725000</c:v>
                </c:pt>
                <c:pt idx="5">
                  <c:v>18110000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0574986"/>
        <c:axId val="25594837"/>
      </c:lineChart>
      <c:catAx>
        <c:axId val="405749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25594837"/>
        <c:crosses val="autoZero"/>
        <c:auto val="1"/>
        <c:lblAlgn val="ctr"/>
        <c:lblOffset val="100"/>
        <c:noMultiLvlLbl val="0"/>
      </c:catAx>
      <c:valAx>
        <c:axId val="25594837"/>
        <c:scaling>
          <c:orientation val="minMax"/>
        </c:scaling>
        <c:delete val="0"/>
        <c:axPos val="l"/>
        <c:majorGridlines>
          <c:spPr>
            <a:ln w="9360">
              <a:solidFill>
                <a:srgbClr val="eaeeec"/>
              </a:solidFill>
              <a:round/>
            </a:ln>
          </c:spPr>
        </c:majorGridlines>
        <c:numFmt formatCode="#,##0,,&quot;jt&quot;" sourceLinked="0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4057498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800" spc="-1" strike="noStrike">
              <a:solidFill>
                <a:srgbClr val="18211d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Komposisi Penerimaan per Jenis Dana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Dashboard!D9</c:f>
              <c:strCache>
                <c:ptCount val="1"/>
                <c:pt idx="0">
                  <c:v>Penerimaan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1543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spPr>
              <a:solidFill>
                <a:srgbClr val="c9a22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spPr>
              <a:solidFill>
                <a:srgbClr val="157a52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spPr>
              <a:solidFill>
                <a:srgbClr val="8aa79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spPr>
              <a:solidFill>
                <a:srgbClr val="d9b85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spPr>
              <a:solidFill>
                <a:srgbClr val="2f6f58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spPr>
              <a:solidFill>
                <a:srgbClr val="b9c7c1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Dashboard!$B$10:$B$16</c:f>
              <c:strCache>
                <c:ptCount val="7"/>
                <c:pt idx="0">
                  <c:v>Operasional</c:v>
                </c:pt>
                <c:pt idx="1">
                  <c:v>Pembangunan</c:v>
                </c:pt>
                <c:pt idx="2">
                  <c:v>Zakat</c:v>
                </c:pt>
                <c:pt idx="3">
                  <c:v>Infak</c:v>
                </c:pt>
                <c:pt idx="4">
                  <c:v>Sedekah</c:v>
                </c:pt>
                <c:pt idx="5">
                  <c:v>Wakaf</c:v>
                </c:pt>
                <c:pt idx="6">
                  <c:v>Lainnya</c:v>
                </c:pt>
              </c:strCache>
            </c:strRef>
          </c:cat>
          <c:val>
            <c:numRef>
              <c:f>Dashboard!$D$10:$D$16</c:f>
              <c:numCache>
                <c:formatCode>#,##0;[RED]\(#,##0\);\–</c:formatCode>
                <c:ptCount val="7"/>
                <c:pt idx="0">
                  <c:v>10850000</c:v>
                </c:pt>
                <c:pt idx="1">
                  <c:v>37500000</c:v>
                </c:pt>
                <c:pt idx="2">
                  <c:v>23400000</c:v>
                </c:pt>
                <c:pt idx="3">
                  <c:v>112040000</c:v>
                </c:pt>
                <c:pt idx="4">
                  <c:v>30260000</c:v>
                </c:pt>
                <c:pt idx="5">
                  <c:v>20000000</c:v>
                </c:pt>
                <c:pt idx="6">
                  <c:v>10000000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800" spc="-1" strike="noStrike">
              <a:solidFill>
                <a:srgbClr val="18211d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Pengeluaran per Kategori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Dashboard!C21</c:f>
              <c:strCache>
                <c:ptCount val="1"/>
                <c:pt idx="0">
                  <c:v>Jumlah</c:v>
                </c:pt>
              </c:strCache>
            </c:strRef>
          </c:tx>
          <c:spPr>
            <a:solidFill>
              <a:srgbClr val="11543c"/>
            </a:solidFill>
            <a:ln w="6480">
              <a:solidFill>
                <a:srgbClr val="ffffff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Dashboard!$B$22:$B$33</c:f>
              <c:strCache>
                <c:ptCount val="12"/>
                <c:pt idx="0">
                  <c:v>Listrik &amp; Air</c:v>
                </c:pt>
                <c:pt idx="1">
                  <c:v>Kebersihan &amp; Keamanan</c:v>
                </c:pt>
                <c:pt idx="2">
                  <c:v>Honorarium</c:v>
                </c:pt>
                <c:pt idx="3">
                  <c:v>Kegiatan Dakwah</c:v>
                </c:pt>
                <c:pt idx="4">
                  <c:v>Pendidikan (TPA)</c:v>
                </c:pt>
                <c:pt idx="5">
                  <c:v>Sosial &amp; Santunan</c:v>
                </c:pt>
                <c:pt idx="6">
                  <c:v>Ramadan</c:v>
                </c:pt>
                <c:pt idx="7">
                  <c:v>Kurban</c:v>
                </c:pt>
                <c:pt idx="8">
                  <c:v>Pembangunan</c:v>
                </c:pt>
                <c:pt idx="9">
                  <c:v>Pemeliharaan</c:v>
                </c:pt>
                <c:pt idx="10">
                  <c:v>Pembelian Aset</c:v>
                </c:pt>
                <c:pt idx="11">
                  <c:v>Administrasi &amp; Umum</c:v>
                </c:pt>
              </c:strCache>
            </c:strRef>
          </c:cat>
          <c:val>
            <c:numRef>
              <c:f>Dashboard!$C$22:$C$33</c:f>
              <c:numCache>
                <c:formatCode>#,##0;[RED]\(#,##0\);\–</c:formatCode>
                <c:ptCount val="12"/>
                <c:pt idx="0">
                  <c:v>8235000</c:v>
                </c:pt>
                <c:pt idx="1">
                  <c:v>2700000</c:v>
                </c:pt>
                <c:pt idx="2">
                  <c:v>21000000</c:v>
                </c:pt>
                <c:pt idx="3">
                  <c:v>5100000</c:v>
                </c:pt>
                <c:pt idx="4">
                  <c:v>7200000</c:v>
                </c:pt>
                <c:pt idx="5">
                  <c:v>26950000</c:v>
                </c:pt>
                <c:pt idx="6">
                  <c:v>8850000</c:v>
                </c:pt>
                <c:pt idx="7">
                  <c:v>0</c:v>
                </c:pt>
                <c:pt idx="8">
                  <c:v>44300000</c:v>
                </c:pt>
                <c:pt idx="9">
                  <c:v>1750000</c:v>
                </c:pt>
                <c:pt idx="10">
                  <c:v>8500000</c:v>
                </c:pt>
                <c:pt idx="11">
                  <c:v>650000</c:v>
                </c:pt>
              </c:numCache>
            </c:numRef>
          </c:val>
        </c:ser>
        <c:gapWidth val="55"/>
        <c:overlap val="0"/>
        <c:axId val="61634207"/>
        <c:axId val="97527166"/>
      </c:barChart>
      <c:catAx>
        <c:axId val="61634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97527166"/>
        <c:crosses val="autoZero"/>
        <c:auto val="1"/>
        <c:lblAlgn val="ctr"/>
        <c:lblOffset val="100"/>
        <c:noMultiLvlLbl val="0"/>
      </c:catAx>
      <c:valAx>
        <c:axId val="97527166"/>
        <c:scaling>
          <c:orientation val="minMax"/>
        </c:scaling>
        <c:delete val="0"/>
        <c:axPos val="l"/>
        <c:majorGridlines>
          <c:spPr>
            <a:ln w="9360">
              <a:solidFill>
                <a:srgbClr val="eaeeec"/>
              </a:solidFill>
              <a:round/>
            </a:ln>
          </c:spPr>
        </c:majorGridlines>
        <c:numFmt formatCode="#,##0,,&quot;jt&quot;" sourceLinked="0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6163420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Tren Saldo Kas per Bulan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'Buku Kas'!F4</c:f>
              <c:strCache>
                <c:ptCount val="1"/>
                <c:pt idx="0">
                  <c:v>Saldo Akhir</c:v>
                </c:pt>
              </c:strCache>
            </c:strRef>
          </c:tx>
          <c:spPr>
            <a:solidFill>
              <a:srgbClr val="157a52"/>
            </a:solidFill>
            <a:ln w="21960">
              <a:solidFill>
                <a:srgbClr val="157a52"/>
              </a:solidFill>
              <a:round/>
            </a:ln>
          </c:spPr>
          <c:marker>
            <c:symbol val="circle"/>
            <c:size val="6"/>
            <c:spPr>
              <a:solidFill>
                <a:srgbClr val="157a52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'Buku Kas'!$B$6:$B$17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'Buku Kas'!$F$5:$F$17</c:f>
              <c:numCache>
                <c:formatCode>#,##0;[RED]\(#,##0\);\–</c:formatCode>
                <c:ptCount val="13"/>
                <c:pt idx="0">
                  <c:v>15000000</c:v>
                </c:pt>
                <c:pt idx="1">
                  <c:v>23470000</c:v>
                </c:pt>
                <c:pt idx="2">
                  <c:v>36460000</c:v>
                </c:pt>
                <c:pt idx="3">
                  <c:v>55170000</c:v>
                </c:pt>
                <c:pt idx="4">
                  <c:v>62210000</c:v>
                </c:pt>
                <c:pt idx="5">
                  <c:v>76190000</c:v>
                </c:pt>
                <c:pt idx="6">
                  <c:v>86190000</c:v>
                </c:pt>
                <c:pt idx="7">
                  <c:v>86190000</c:v>
                </c:pt>
                <c:pt idx="8">
                  <c:v>86190000</c:v>
                </c:pt>
                <c:pt idx="9">
                  <c:v>86190000</c:v>
                </c:pt>
                <c:pt idx="10">
                  <c:v>86190000</c:v>
                </c:pt>
                <c:pt idx="11">
                  <c:v>86190000</c:v>
                </c:pt>
                <c:pt idx="12">
                  <c:v>86190000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79181790"/>
        <c:axId val="65515619"/>
      </c:lineChart>
      <c:catAx>
        <c:axId val="7918179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65515619"/>
        <c:crosses val="autoZero"/>
        <c:auto val="1"/>
        <c:lblAlgn val="ctr"/>
        <c:lblOffset val="100"/>
        <c:noMultiLvlLbl val="0"/>
      </c:catAx>
      <c:valAx>
        <c:axId val="65515619"/>
        <c:scaling>
          <c:orientation val="minMax"/>
        </c:scaling>
        <c:delete val="0"/>
        <c:axPos val="l"/>
        <c:majorGridlines>
          <c:spPr>
            <a:ln w="9360">
              <a:solidFill>
                <a:srgbClr val="eaeeec"/>
              </a:solidFill>
              <a:round/>
            </a:ln>
          </c:spPr>
        </c:majorGridlines>
        <c:numFmt formatCode="#,##0,,&quot;jt&quot;" sourceLinked="0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7918179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Tren Saldo Bank per Bulan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'Buku Bank'!F4</c:f>
              <c:strCache>
                <c:ptCount val="1"/>
                <c:pt idx="0">
                  <c:v>Saldo Akhir</c:v>
                </c:pt>
              </c:strCache>
            </c:strRef>
          </c:tx>
          <c:spPr>
            <a:solidFill>
              <a:srgbClr val="11543c"/>
            </a:solidFill>
            <a:ln w="21960">
              <a:solidFill>
                <a:srgbClr val="11543c"/>
              </a:solidFill>
              <a:round/>
            </a:ln>
          </c:spPr>
          <c:marker>
            <c:symbol val="circle"/>
            <c:size val="6"/>
            <c:spPr>
              <a:solidFill>
                <a:srgbClr val="11543c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'Buku Bank'!$B$6:$B$17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'Buku Bank'!$F$5:$F$17</c:f>
              <c:numCache>
                <c:formatCode>#,##0;[RED]\(#,##0\);\–</c:formatCode>
                <c:ptCount val="13"/>
                <c:pt idx="0">
                  <c:v>85000000</c:v>
                </c:pt>
                <c:pt idx="1">
                  <c:v>88525000</c:v>
                </c:pt>
                <c:pt idx="2">
                  <c:v>97875000</c:v>
                </c:pt>
                <c:pt idx="3">
                  <c:v>85050000</c:v>
                </c:pt>
                <c:pt idx="4">
                  <c:v>106150000</c:v>
                </c:pt>
                <c:pt idx="5">
                  <c:v>105475000</c:v>
                </c:pt>
                <c:pt idx="6">
                  <c:v>122625000</c:v>
                </c:pt>
                <c:pt idx="7">
                  <c:v>122625000</c:v>
                </c:pt>
                <c:pt idx="8">
                  <c:v>122625000</c:v>
                </c:pt>
                <c:pt idx="9">
                  <c:v>122625000</c:v>
                </c:pt>
                <c:pt idx="10">
                  <c:v>122625000</c:v>
                </c:pt>
                <c:pt idx="11">
                  <c:v>122625000</c:v>
                </c:pt>
                <c:pt idx="12">
                  <c:v>122625000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7005596"/>
        <c:axId val="52838692"/>
      </c:lineChart>
      <c:catAx>
        <c:axId val="570055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52838692"/>
        <c:crosses val="autoZero"/>
        <c:auto val="1"/>
        <c:lblAlgn val="ctr"/>
        <c:lblOffset val="100"/>
        <c:noMultiLvlLbl val="0"/>
      </c:catAx>
      <c:valAx>
        <c:axId val="52838692"/>
        <c:scaling>
          <c:orientation val="minMax"/>
        </c:scaling>
        <c:delete val="0"/>
        <c:axPos val="l"/>
        <c:majorGridlines>
          <c:spPr>
            <a:ln w="9360">
              <a:solidFill>
                <a:srgbClr val="eaeeec"/>
              </a:solidFill>
              <a:round/>
            </a:ln>
          </c:spPr>
        </c:majorGridlines>
        <c:numFmt formatCode="#,##0,,&quot;jt&quot;" sourceLinked="0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5700559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Kontribusi per Donatur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'Rekap Donatur'!C4</c:f>
              <c:strCache>
                <c:ptCount val="1"/>
                <c:pt idx="0">
                  <c:v>Total Donasi</c:v>
                </c:pt>
              </c:strCache>
            </c:strRef>
          </c:tx>
          <c:spPr>
            <a:solidFill>
              <a:srgbClr val="c9a227"/>
            </a:solidFill>
            <a:ln w="6480">
              <a:solidFill>
                <a:srgbClr val="ffffff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'Rekap Donatur'!$A$5:$A$14</c:f>
              <c:strCache>
                <c:ptCount val="10"/>
                <c:pt idx="0">
                  <c:v>Hamba Allah</c:v>
                </c:pt>
                <c:pt idx="1">
                  <c:v>H. Abdullah Rahman</c:v>
                </c:pt>
                <c:pt idx="2">
                  <c:v>Hj. Siti Maryam</c:v>
                </c:pt>
                <c:pt idx="3">
                  <c:v>Bpk. Ahmad Fauzi</c:v>
                </c:pt>
                <c:pt idx="4">
                  <c:v>Ibu Fatimah Azzahra</c:v>
                </c:pt>
                <c:pt idx="5">
                  <c:v>PT Berkah Amanah</c:v>
                </c:pt>
                <c:pt idx="6">
                  <c:v>Bpk. Muhammad Ridwan</c:v>
                </c:pt>
                <c:pt idx="7">
                  <c:v>Ibu Khadijah</c:v>
                </c:pt>
                <c:pt idx="8">
                  <c:v>Keluarga Alm. H. Usman</c:v>
                </c:pt>
                <c:pt idx="9">
                  <c:v>Jamaah Masjid</c:v>
                </c:pt>
              </c:strCache>
            </c:strRef>
          </c:cat>
          <c:val>
            <c:numRef>
              <c:f>'Rekap Donatur'!$C$5:$C$14</c:f>
              <c:numCache>
                <c:formatCode>#,##0;[RED]\(#,##0\);\–</c:formatCode>
                <c:ptCount val="10"/>
                <c:pt idx="0">
                  <c:v>5760000</c:v>
                </c:pt>
                <c:pt idx="1">
                  <c:v>30000000</c:v>
                </c:pt>
                <c:pt idx="2">
                  <c:v>7500000</c:v>
                </c:pt>
                <c:pt idx="3">
                  <c:v>6250000</c:v>
                </c:pt>
                <c:pt idx="4">
                  <c:v>21000000</c:v>
                </c:pt>
                <c:pt idx="5">
                  <c:v>19000000</c:v>
                </c:pt>
                <c:pt idx="6">
                  <c:v>3500000</c:v>
                </c:pt>
                <c:pt idx="7">
                  <c:v>5000000</c:v>
                </c:pt>
                <c:pt idx="8">
                  <c:v>15000000</c:v>
                </c:pt>
                <c:pt idx="9">
                  <c:v>131040000</c:v>
                </c:pt>
              </c:numCache>
            </c:numRef>
          </c:val>
        </c:ser>
        <c:gapWidth val="55"/>
        <c:overlap val="0"/>
        <c:axId val="92552720"/>
        <c:axId val="27575888"/>
      </c:barChart>
      <c:catAx>
        <c:axId val="9255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27575888"/>
        <c:crosses val="autoZero"/>
        <c:auto val="1"/>
        <c:lblAlgn val="ctr"/>
        <c:lblOffset val="100"/>
        <c:noMultiLvlLbl val="0"/>
      </c:catAx>
      <c:valAx>
        <c:axId val="27575888"/>
        <c:scaling>
          <c:orientation val="minMax"/>
        </c:scaling>
        <c:delete val="0"/>
        <c:axPos val="l"/>
        <c:majorGridlines>
          <c:spPr>
            <a:ln w="9360">
              <a:solidFill>
                <a:srgbClr val="eaeeec"/>
              </a:solidFill>
              <a:round/>
            </a:ln>
          </c:spPr>
        </c:majorGridlines>
        <c:numFmt formatCode="#,##0,,&quot;jt&quot;" sourceLinked="0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925527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100" spc="-1" strike="noStrike">
                <a:solidFill>
                  <a:srgbClr val="0b3d2e"/>
                </a:solidFill>
                <a:latin typeface="Arial"/>
              </a:defRPr>
            </a:pPr>
            <a:r>
              <a:rPr b="1" sz="1100" spc="-1" strike="noStrike">
                <a:solidFill>
                  <a:srgbClr val="0b3d2e"/>
                </a:solidFill>
                <a:latin typeface="Arial"/>
              </a:rPr>
              <a:t>Penerimaan vs Pengeluaran per Bulan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Analisis!B22</c:f>
              <c:strCache>
                <c:ptCount val="1"/>
                <c:pt idx="0">
                  <c:v>Penerimaan</c:v>
                </c:pt>
              </c:strCache>
            </c:strRef>
          </c:tx>
          <c:spPr>
            <a:solidFill>
              <a:srgbClr val="157a52"/>
            </a:solidFill>
            <a:ln w="6480">
              <a:solidFill>
                <a:srgbClr val="ffffff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Analisis!$A$23:$A$34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Analisis!$B$23:$B$34</c:f>
              <c:numCache>
                <c:formatCode>#,##0;[RED]\(#,##0\);\–</c:formatCode>
                <c:ptCount val="12"/>
                <c:pt idx="0">
                  <c:v>34280000</c:v>
                </c:pt>
                <c:pt idx="1">
                  <c:v>33860000</c:v>
                </c:pt>
                <c:pt idx="2">
                  <c:v>54590000</c:v>
                </c:pt>
                <c:pt idx="3">
                  <c:v>40030000</c:v>
                </c:pt>
                <c:pt idx="4">
                  <c:v>36030000</c:v>
                </c:pt>
                <c:pt idx="5">
                  <c:v>45260000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Analisis!D22</c:f>
              <c:strCache>
                <c:ptCount val="1"/>
                <c:pt idx="0">
                  <c:v>Pengeluaran</c:v>
                </c:pt>
              </c:strCache>
            </c:strRef>
          </c:tx>
          <c:spPr>
            <a:solidFill>
              <a:srgbClr val="c9a227"/>
            </a:solidFill>
            <a:ln w="6480">
              <a:solidFill>
                <a:srgbClr val="ffffff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Analisis!$A$23:$A$34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Analisis!$D$23:$D$34</c:f>
              <c:numCache>
                <c:formatCode>#,##0;[RED]\(#,##0\);\–</c:formatCode>
                <c:ptCount val="12"/>
                <c:pt idx="0">
                  <c:v>22285000</c:v>
                </c:pt>
                <c:pt idx="1">
                  <c:v>11520000</c:v>
                </c:pt>
                <c:pt idx="2">
                  <c:v>48705000</c:v>
                </c:pt>
                <c:pt idx="3">
                  <c:v>11890000</c:v>
                </c:pt>
                <c:pt idx="4">
                  <c:v>22725000</c:v>
                </c:pt>
                <c:pt idx="5">
                  <c:v>18110000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60"/>
        <c:overlap val="0"/>
        <c:axId val="63125271"/>
        <c:axId val="736369"/>
      </c:barChart>
      <c:catAx>
        <c:axId val="63125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736369"/>
        <c:crosses val="autoZero"/>
        <c:auto val="1"/>
        <c:lblAlgn val="ctr"/>
        <c:lblOffset val="100"/>
        <c:noMultiLvlLbl val="0"/>
      </c:catAx>
      <c:valAx>
        <c:axId val="736369"/>
        <c:scaling>
          <c:orientation val="minMax"/>
        </c:scaling>
        <c:delete val="0"/>
        <c:axPos val="l"/>
        <c:majorGridlines>
          <c:spPr>
            <a:ln w="9360">
              <a:solidFill>
                <a:srgbClr val="eaeeec"/>
              </a:solidFill>
              <a:round/>
            </a:ln>
          </c:spPr>
        </c:majorGridlines>
        <c:numFmt formatCode="#,##0,,&quot;jt&quot;" sourceLinked="0"/>
        <c:majorTickMark val="none"/>
        <c:minorTickMark val="none"/>
        <c:tickLblPos val="nextTo"/>
        <c:spPr>
          <a:ln w="9360">
            <a:solidFill>
              <a:srgbClr val="c7d2cd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6e7f78"/>
                </a:solidFill>
                <a:latin typeface="Arial"/>
              </a:defRPr>
            </a:pPr>
          </a:p>
        </c:txPr>
        <c:crossAx val="6312527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800" spc="-1" strike="noStrike">
              <a:solidFill>
                <a:srgbClr val="18211d"/>
              </a:solidFill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2e8e5"/>
      </a:solidFill>
      <a:round/>
    </a:ln>
  </c:spPr>
</c:chartSpace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5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6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7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0</xdr:colOff>
      <xdr:row>3</xdr:row>
      <xdr:rowOff>0</xdr:rowOff>
    </xdr:from>
    <xdr:to>
      <xdr:col>24</xdr:col>
      <xdr:colOff>331200</xdr:colOff>
      <xdr:row>17</xdr:row>
      <xdr:rowOff>188640</xdr:rowOff>
    </xdr:to>
    <xdr:graphicFrame>
      <xdr:nvGraphicFramePr>
        <xdr:cNvPr id="0" name="Chart 1"/>
        <xdr:cNvGraphicFramePr/>
      </xdr:nvGraphicFramePr>
      <xdr:xfrm>
        <a:off x="11869560" y="676440"/>
        <a:ext cx="7379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23</xdr:row>
      <xdr:rowOff>0</xdr:rowOff>
    </xdr:from>
    <xdr:to>
      <xdr:col>24</xdr:col>
      <xdr:colOff>331200</xdr:colOff>
      <xdr:row>35</xdr:row>
      <xdr:rowOff>281520</xdr:rowOff>
    </xdr:to>
    <xdr:graphicFrame>
      <xdr:nvGraphicFramePr>
        <xdr:cNvPr id="1" name="Chart 2"/>
        <xdr:cNvGraphicFramePr/>
      </xdr:nvGraphicFramePr>
      <xdr:xfrm>
        <a:off x="11869560" y="5362560"/>
        <a:ext cx="7379640" cy="31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0</xdr:colOff>
      <xdr:row>42</xdr:row>
      <xdr:rowOff>0</xdr:rowOff>
    </xdr:from>
    <xdr:to>
      <xdr:col>24</xdr:col>
      <xdr:colOff>331200</xdr:colOff>
      <xdr:row>64</xdr:row>
      <xdr:rowOff>158040</xdr:rowOff>
    </xdr:to>
    <xdr:graphicFrame>
      <xdr:nvGraphicFramePr>
        <xdr:cNvPr id="2" name="Chart 3"/>
        <xdr:cNvGraphicFramePr/>
      </xdr:nvGraphicFramePr>
      <xdr:xfrm>
        <a:off x="11869560" y="9601200"/>
        <a:ext cx="7379640" cy="41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3</xdr:row>
      <xdr:rowOff>0</xdr:rowOff>
    </xdr:from>
    <xdr:to>
      <xdr:col>18</xdr:col>
      <xdr:colOff>148320</xdr:colOff>
      <xdr:row>16</xdr:row>
      <xdr:rowOff>200160</xdr:rowOff>
    </xdr:to>
    <xdr:graphicFrame>
      <xdr:nvGraphicFramePr>
        <xdr:cNvPr id="3" name="Chart 1"/>
        <xdr:cNvGraphicFramePr/>
      </xdr:nvGraphicFramePr>
      <xdr:xfrm>
        <a:off x="7499520" y="752400"/>
        <a:ext cx="6839640" cy="34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3</xdr:row>
      <xdr:rowOff>0</xdr:rowOff>
    </xdr:from>
    <xdr:to>
      <xdr:col>18</xdr:col>
      <xdr:colOff>148320</xdr:colOff>
      <xdr:row>16</xdr:row>
      <xdr:rowOff>200160</xdr:rowOff>
    </xdr:to>
    <xdr:graphicFrame>
      <xdr:nvGraphicFramePr>
        <xdr:cNvPr id="4" name="Chart 1"/>
        <xdr:cNvGraphicFramePr/>
      </xdr:nvGraphicFramePr>
      <xdr:xfrm>
        <a:off x="7499520" y="752400"/>
        <a:ext cx="6839640" cy="34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3</xdr:row>
      <xdr:rowOff>0</xdr:rowOff>
    </xdr:from>
    <xdr:to>
      <xdr:col>17</xdr:col>
      <xdr:colOff>148320</xdr:colOff>
      <xdr:row>19</xdr:row>
      <xdr:rowOff>131400</xdr:rowOff>
    </xdr:to>
    <xdr:graphicFrame>
      <xdr:nvGraphicFramePr>
        <xdr:cNvPr id="5" name="Chart 1"/>
        <xdr:cNvGraphicFramePr/>
      </xdr:nvGraphicFramePr>
      <xdr:xfrm>
        <a:off x="7499520" y="752400"/>
        <a:ext cx="6839640" cy="37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4</xdr:row>
      <xdr:rowOff>0</xdr:rowOff>
    </xdr:from>
    <xdr:to>
      <xdr:col>19</xdr:col>
      <xdr:colOff>11520</xdr:colOff>
      <xdr:row>18</xdr:row>
      <xdr:rowOff>189000</xdr:rowOff>
    </xdr:to>
    <xdr:graphicFrame>
      <xdr:nvGraphicFramePr>
        <xdr:cNvPr id="6" name="Chart 1"/>
        <xdr:cNvGraphicFramePr/>
      </xdr:nvGraphicFramePr>
      <xdr:xfrm>
        <a:off x="9120600" y="1028880"/>
        <a:ext cx="7919640" cy="37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3D2E"/>
    <pageSetUpPr fitToPage="true"/>
  </sheetPr>
  <dimension ref="A1:P46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E17" activeCellId="0" sqref="E17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.2"/>
    <col collapsed="false" customWidth="true" hidden="false" outlineLevel="0" max="3" min="2" style="0" width="20"/>
    <col collapsed="false" customWidth="true" hidden="false" outlineLevel="0" max="4" min="4" style="0" width="1.8"/>
    <col collapsed="false" customWidth="true" hidden="false" outlineLevel="0" max="6" min="5" style="0" width="20"/>
    <col collapsed="false" customWidth="true" hidden="false" outlineLevel="0" max="7" min="7" style="0" width="1.8"/>
    <col collapsed="false" customWidth="true" hidden="false" outlineLevel="0" max="9" min="8" style="0" width="20"/>
    <col collapsed="false" customWidth="true" hidden="false" outlineLevel="0" max="10" min="10" style="0" width="2.2"/>
  </cols>
  <sheetData>
    <row r="1" customFormat="false" ht="33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3"/>
      <c r="K1" s="1"/>
      <c r="L1" s="4"/>
      <c r="M1" s="4"/>
      <c r="N1" s="4"/>
      <c r="O1" s="4"/>
      <c r="P1" s="4"/>
    </row>
    <row r="2" customFormat="false" ht="15.75" hidden="false" customHeight="true" outlineLevel="0" collapsed="false">
      <c r="A2" s="1"/>
      <c r="B2" s="5" t="s">
        <v>1</v>
      </c>
      <c r="C2" s="5"/>
      <c r="D2" s="5"/>
      <c r="E2" s="5"/>
      <c r="F2" s="5"/>
      <c r="G2" s="5"/>
      <c r="H2" s="5"/>
      <c r="I2" s="5"/>
      <c r="J2" s="3"/>
      <c r="K2" s="1"/>
      <c r="L2" s="4"/>
      <c r="M2" s="4"/>
      <c r="N2" s="4"/>
      <c r="O2" s="4"/>
      <c r="P2" s="4"/>
    </row>
    <row r="3" customFormat="false" ht="3.7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1"/>
      <c r="K3" s="1"/>
      <c r="L3" s="4"/>
      <c r="M3" s="4"/>
      <c r="N3" s="4"/>
      <c r="O3" s="4"/>
      <c r="P3" s="4"/>
    </row>
    <row r="4" customFormat="false" ht="7.5" hidden="false" customHeight="true" outlineLevel="0" collapsed="false">
      <c r="A4" s="1"/>
      <c r="B4" s="1"/>
      <c r="C4" s="3"/>
      <c r="D4" s="3"/>
      <c r="E4" s="3"/>
      <c r="F4" s="3"/>
      <c r="G4" s="1"/>
      <c r="H4" s="1"/>
      <c r="I4" s="1"/>
      <c r="J4" s="1"/>
      <c r="K4" s="1"/>
      <c r="L4" s="4"/>
      <c r="M4" s="4"/>
      <c r="N4" s="4"/>
      <c r="O4" s="4"/>
      <c r="P4" s="4"/>
    </row>
    <row r="5" customFormat="false" ht="21.75" hidden="false" customHeight="true" outlineLevel="0" collapsed="false">
      <c r="A5" s="1"/>
      <c r="B5" s="7" t="s">
        <v>2</v>
      </c>
      <c r="C5" s="7"/>
      <c r="D5" s="7"/>
      <c r="E5" s="7"/>
      <c r="F5" s="7"/>
      <c r="G5" s="7"/>
      <c r="H5" s="7"/>
      <c r="I5" s="7"/>
      <c r="J5" s="1"/>
      <c r="K5" s="1"/>
      <c r="L5" s="4"/>
      <c r="M5" s="4"/>
      <c r="N5" s="4"/>
      <c r="O5" s="4"/>
      <c r="P5" s="4"/>
    </row>
    <row r="6" customFormat="false" ht="18" hidden="false" customHeight="true" outlineLevel="0" collapsed="false">
      <c r="A6" s="1"/>
      <c r="B6" s="8" t="s">
        <v>3</v>
      </c>
      <c r="C6" s="8"/>
      <c r="D6" s="3"/>
      <c r="E6" s="8" t="s">
        <v>4</v>
      </c>
      <c r="F6" s="8"/>
      <c r="G6" s="1"/>
      <c r="H6" s="8" t="s">
        <v>5</v>
      </c>
      <c r="I6" s="8"/>
      <c r="J6" s="1"/>
      <c r="K6" s="1"/>
      <c r="L6" s="4"/>
      <c r="M6" s="4"/>
      <c r="N6" s="4"/>
      <c r="O6" s="4"/>
      <c r="P6" s="4"/>
    </row>
    <row r="7" customFormat="false" ht="30" hidden="false" customHeight="true" outlineLevel="0" collapsed="false">
      <c r="A7" s="1"/>
      <c r="B7" s="9" t="n">
        <f aca="false">Dashboard!$B$5</f>
        <v>244050000</v>
      </c>
      <c r="C7" s="9"/>
      <c r="D7" s="3"/>
      <c r="E7" s="10" t="n">
        <f aca="false">Dashboard!$D$5</f>
        <v>135235000</v>
      </c>
      <c r="F7" s="10"/>
      <c r="G7" s="1"/>
      <c r="H7" s="11" t="n">
        <f aca="false">Dashboard!$F$5</f>
        <v>108815000</v>
      </c>
      <c r="I7" s="11"/>
      <c r="J7" s="1"/>
      <c r="K7" s="1"/>
      <c r="L7" s="4"/>
      <c r="M7" s="4"/>
      <c r="N7" s="4"/>
      <c r="O7" s="4"/>
      <c r="P7" s="4"/>
    </row>
    <row r="8" customFormat="false" ht="4.5" hidden="false" customHeight="true" outlineLevel="0" collapsed="false">
      <c r="A8" s="1"/>
      <c r="B8" s="12"/>
      <c r="C8" s="12"/>
      <c r="D8" s="3"/>
      <c r="E8" s="13"/>
      <c r="F8" s="13"/>
      <c r="G8" s="1"/>
      <c r="H8" s="14"/>
      <c r="I8" s="14"/>
      <c r="J8" s="1"/>
      <c r="K8" s="1"/>
      <c r="L8" s="4"/>
      <c r="M8" s="4"/>
      <c r="N8" s="4"/>
      <c r="O8" s="4"/>
      <c r="P8" s="4"/>
    </row>
    <row r="9" customFormat="false" ht="7.5" hidden="false" customHeight="true" outlineLevel="0" collapsed="false">
      <c r="A9" s="1"/>
      <c r="B9" s="1"/>
      <c r="C9" s="1"/>
      <c r="D9" s="3"/>
      <c r="E9" s="3"/>
      <c r="F9" s="3"/>
      <c r="G9" s="1"/>
      <c r="H9" s="1"/>
      <c r="I9" s="1"/>
      <c r="J9" s="1"/>
      <c r="K9" s="1"/>
      <c r="L9" s="4"/>
      <c r="M9" s="4"/>
      <c r="N9" s="4"/>
      <c r="O9" s="4"/>
      <c r="P9" s="4"/>
    </row>
    <row r="10" customFormat="false" ht="18" hidden="false" customHeight="true" outlineLevel="0" collapsed="false">
      <c r="A10" s="1"/>
      <c r="B10" s="8" t="s">
        <v>6</v>
      </c>
      <c r="C10" s="8"/>
      <c r="D10" s="1"/>
      <c r="E10" s="8" t="s">
        <v>7</v>
      </c>
      <c r="F10" s="8"/>
      <c r="G10" s="1"/>
      <c r="H10" s="8" t="s">
        <v>8</v>
      </c>
      <c r="I10" s="8"/>
      <c r="J10" s="1"/>
      <c r="K10" s="1"/>
      <c r="L10" s="4"/>
      <c r="M10" s="4"/>
      <c r="N10" s="4"/>
      <c r="O10" s="4"/>
      <c r="P10" s="4"/>
    </row>
    <row r="11" customFormat="false" ht="30" hidden="false" customHeight="true" outlineLevel="0" collapsed="false">
      <c r="A11" s="1"/>
      <c r="B11" s="11" t="n">
        <f aca="false">Dashboard!$H$5</f>
        <v>86190000</v>
      </c>
      <c r="C11" s="11"/>
      <c r="D11" s="3"/>
      <c r="E11" s="11" t="n">
        <f aca="false">Dashboard!$J$5</f>
        <v>122625000</v>
      </c>
      <c r="F11" s="11"/>
      <c r="G11" s="1"/>
      <c r="H11" s="11" t="n">
        <f aca="false">Dashboard!$L$5</f>
        <v>208815000</v>
      </c>
      <c r="I11" s="11"/>
      <c r="J11" s="1"/>
      <c r="K11" s="1"/>
      <c r="L11" s="4"/>
      <c r="M11" s="4"/>
      <c r="N11" s="4"/>
      <c r="O11" s="4"/>
      <c r="P11" s="4"/>
    </row>
    <row r="12" customFormat="false" ht="4.5" hidden="false" customHeight="true" outlineLevel="0" collapsed="false">
      <c r="A12" s="1"/>
      <c r="B12" s="15"/>
      <c r="C12" s="15"/>
      <c r="D12" s="1"/>
      <c r="E12" s="15"/>
      <c r="F12" s="15"/>
      <c r="G12" s="1"/>
      <c r="H12" s="14"/>
      <c r="I12" s="14"/>
      <c r="J12" s="1"/>
      <c r="K12" s="1"/>
      <c r="L12" s="4"/>
      <c r="M12" s="4"/>
      <c r="N12" s="4"/>
      <c r="O12" s="4"/>
      <c r="P12" s="4"/>
    </row>
    <row r="13" customFormat="false" ht="7.5" hidden="false" customHeight="true" outlineLevel="0" collapsed="false">
      <c r="A13" s="1"/>
      <c r="B13" s="1"/>
      <c r="C13" s="3"/>
      <c r="D13" s="1"/>
      <c r="E13" s="1"/>
      <c r="F13" s="3"/>
      <c r="G13" s="1"/>
      <c r="H13" s="1"/>
      <c r="I13" s="1"/>
      <c r="J13" s="1"/>
      <c r="K13" s="1"/>
      <c r="L13" s="4"/>
      <c r="M13" s="4"/>
      <c r="N13" s="4"/>
      <c r="O13" s="4"/>
      <c r="P13" s="4"/>
    </row>
    <row r="14" customFormat="false" ht="21.75" hidden="false" customHeight="true" outlineLevel="0" collapsed="false">
      <c r="A14" s="1"/>
      <c r="B14" s="7" t="s">
        <v>9</v>
      </c>
      <c r="C14" s="7"/>
      <c r="D14" s="7"/>
      <c r="E14" s="7"/>
      <c r="F14" s="7"/>
      <c r="G14" s="7"/>
      <c r="H14" s="7"/>
      <c r="I14" s="7"/>
      <c r="J14" s="1"/>
      <c r="K14" s="1"/>
      <c r="L14" s="4"/>
      <c r="M14" s="4"/>
      <c r="N14" s="4"/>
      <c r="O14" s="4"/>
      <c r="P14" s="4"/>
    </row>
    <row r="15" customFormat="false" ht="25.5" hidden="false" customHeight="true" outlineLevel="0" collapsed="false">
      <c r="A15" s="1"/>
      <c r="B15" s="16" t="str">
        <f aca="false">HYPERLINK("#Dashboard!A1","📊  Dashboard")</f>
        <v>📊  Dashboard</v>
      </c>
      <c r="C15" s="16"/>
      <c r="D15" s="1"/>
      <c r="E15" s="16" t="str">
        <f aca="false">HYPERLINK("#Master!A1","🕌  Master Data")</f>
        <v>🕌  Master Data</v>
      </c>
      <c r="F15" s="16"/>
      <c r="G15" s="1"/>
      <c r="H15" s="16" t="str">
        <f aca="false">HYPERLINK("#Penerimaan!A1","📥  Penerimaan Dana")</f>
        <v>📥  Penerimaan Dana</v>
      </c>
      <c r="I15" s="16"/>
      <c r="J15" s="1"/>
      <c r="K15" s="1"/>
      <c r="L15" s="4"/>
      <c r="M15" s="4"/>
      <c r="N15" s="4"/>
      <c r="O15" s="4"/>
      <c r="P15" s="4"/>
    </row>
    <row r="16" customFormat="false" ht="25.5" hidden="false" customHeight="true" outlineLevel="0" collapsed="false">
      <c r="A16" s="1"/>
      <c r="B16" s="16" t="str">
        <f aca="false">HYPERLINK("#Pengeluaran!A1","📤  Pengeluaran Dana")</f>
        <v>📤  Pengeluaran Dana</v>
      </c>
      <c r="C16" s="16"/>
      <c r="D16" s="1"/>
      <c r="E16" s="16" t="str">
        <f aca="false">HYPERLINK("#Anggaran!A1","🎯  Anggaran vs Realisasi")</f>
        <v>🎯  Anggaran vs Realisasi</v>
      </c>
      <c r="F16" s="16"/>
      <c r="G16" s="1"/>
      <c r="H16" s="16" t="str">
        <f aca="false">HYPERLINK("#'Daftar Aset'!A1","🏗  Daftar Aset")</f>
        <v>🏗  Daftar Aset</v>
      </c>
      <c r="I16" s="16"/>
      <c r="J16" s="1"/>
      <c r="K16" s="1"/>
      <c r="L16" s="4"/>
      <c r="M16" s="4"/>
      <c r="N16" s="4"/>
      <c r="O16" s="4"/>
      <c r="P16" s="4"/>
    </row>
    <row r="17" customFormat="false" ht="25.5" hidden="false" customHeight="true" outlineLevel="0" collapsed="false">
      <c r="A17" s="1"/>
      <c r="B17" s="16" t="str">
        <f aca="false">HYPERLINK("#'Buku Kas'!A1","💵  Buku Kas")</f>
        <v>💵  Buku Kas</v>
      </c>
      <c r="C17" s="16"/>
      <c r="D17" s="1"/>
      <c r="E17" s="16" t="str">
        <f aca="false">HYPERLINK("#'Buku Bank'!A1","🏦  Buku Bank")</f>
        <v>🏦  Buku Bank</v>
      </c>
      <c r="F17" s="16"/>
      <c r="G17" s="1"/>
      <c r="H17" s="16" t="str">
        <f aca="false">HYPERLINK("#'Buku Besar'!A1","📒  Buku Besar")</f>
        <v>📒  Buku Besar</v>
      </c>
      <c r="I17" s="16"/>
      <c r="J17" s="1"/>
      <c r="K17" s="1"/>
      <c r="L17" s="4"/>
      <c r="M17" s="4"/>
      <c r="N17" s="4"/>
      <c r="O17" s="4"/>
      <c r="P17" s="4"/>
    </row>
    <row r="18" customFormat="false" ht="25.5" hidden="false" customHeight="true" outlineLevel="0" collapsed="false">
      <c r="A18" s="1"/>
      <c r="B18" s="16" t="str">
        <f aca="false">HYPERLINK("#'Neraca Saldo'!A1","⚖  Neraca Saldo")</f>
        <v>⚖  Neraca Saldo</v>
      </c>
      <c r="C18" s="16"/>
      <c r="D18" s="1"/>
      <c r="E18" s="16" t="str">
        <f aca="false">HYPERLINK("#'Lap Posisi Keuangan'!A1","📑  Lap. Posisi Keuangan")</f>
        <v>📑  Lap. Posisi Keuangan</v>
      </c>
      <c r="F18" s="16"/>
      <c r="G18" s="1"/>
      <c r="H18" s="16" t="str">
        <f aca="false">HYPERLINK("#'Lap Aktivitas'!A1","📈  Lap. Aktivitas")</f>
        <v>📈  Lap. Aktivitas</v>
      </c>
      <c r="I18" s="16"/>
      <c r="J18" s="1"/>
      <c r="K18" s="1"/>
      <c r="L18" s="4"/>
      <c r="M18" s="4"/>
      <c r="N18" s="4"/>
      <c r="O18" s="4"/>
      <c r="P18" s="4"/>
    </row>
    <row r="19" customFormat="false" ht="25.5" hidden="false" customHeight="true" outlineLevel="0" collapsed="false">
      <c r="A19" s="1"/>
      <c r="B19" s="16" t="str">
        <f aca="false">HYPERLINK("#'Lap Arus Kas'!A1","💧  Lap. Arus Kas")</f>
        <v>💧  Lap. Arus Kas</v>
      </c>
      <c r="C19" s="16"/>
      <c r="D19" s="1"/>
      <c r="E19" s="16" t="str">
        <f aca="false">HYPERLINK("#'Lap Dana &amp; Program'!A1","🗂  Lap. Dana &amp; Program")</f>
        <v>🗂  Lap. Dana &amp; Program</v>
      </c>
      <c r="F19" s="16"/>
      <c r="G19" s="1"/>
      <c r="H19" s="16" t="str">
        <f aca="false">HYPERLINK("#'Rekap Donatur'!A1","🤝  Rekap Donatur")</f>
        <v>🤝  Rekap Donatur</v>
      </c>
      <c r="I19" s="16"/>
      <c r="J19" s="1"/>
      <c r="K19" s="1"/>
      <c r="L19" s="4"/>
      <c r="M19" s="4"/>
      <c r="N19" s="4"/>
      <c r="O19" s="4"/>
      <c r="P19" s="4"/>
    </row>
    <row r="20" customFormat="false" ht="25.5" hidden="false" customHeight="true" outlineLevel="0" collapsed="false">
      <c r="A20" s="1"/>
      <c r="B20" s="16" t="str">
        <f aca="false">HYPERLINK("#Analisis!A1","🔍  Analisis &amp; Proyeksi")</f>
        <v>🔍  Analisis &amp; Proyeksi</v>
      </c>
      <c r="C20" s="16"/>
      <c r="D20" s="1"/>
      <c r="E20" s="1"/>
      <c r="F20" s="1"/>
      <c r="G20" s="1"/>
      <c r="H20" s="1"/>
      <c r="I20" s="1"/>
      <c r="J20" s="1"/>
      <c r="K20" s="1"/>
      <c r="L20" s="4"/>
      <c r="M20" s="4"/>
      <c r="N20" s="4"/>
      <c r="O20" s="4"/>
      <c r="P20" s="4"/>
    </row>
    <row r="21" customFormat="false" ht="9.7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4"/>
      <c r="N21" s="4"/>
      <c r="O21" s="4"/>
      <c r="P21" s="4"/>
    </row>
    <row r="22" customFormat="false" ht="21.75" hidden="false" customHeight="true" outlineLevel="0" collapsed="false">
      <c r="A22" s="1"/>
      <c r="B22" s="7" t="s">
        <v>10</v>
      </c>
      <c r="C22" s="7"/>
      <c r="D22" s="7"/>
      <c r="E22" s="7"/>
      <c r="F22" s="7" t="s">
        <v>11</v>
      </c>
      <c r="G22" s="7"/>
      <c r="H22" s="7"/>
      <c r="I22" s="7"/>
      <c r="J22" s="1"/>
      <c r="K22" s="1"/>
      <c r="L22" s="4"/>
      <c r="M22" s="4"/>
      <c r="N22" s="4"/>
      <c r="O22" s="4"/>
      <c r="P22" s="4"/>
    </row>
    <row r="23" customFormat="false" ht="21.75" hidden="false" customHeight="true" outlineLevel="0" collapsed="false">
      <c r="A23" s="1"/>
      <c r="B23" s="17" t="s">
        <v>12</v>
      </c>
      <c r="C23" s="18" t="s">
        <v>13</v>
      </c>
      <c r="D23" s="18"/>
      <c r="E23" s="18"/>
      <c r="F23" s="17" t="s">
        <v>14</v>
      </c>
      <c r="G23" s="17"/>
      <c r="H23" s="19" t="str">
        <f aca="false">Dashboard!$J$36</f>
        <v>✔ SURPLUS — Sehat</v>
      </c>
      <c r="I23" s="19"/>
      <c r="J23" s="1"/>
      <c r="K23" s="1"/>
      <c r="L23" s="4"/>
      <c r="M23" s="4"/>
      <c r="N23" s="4"/>
      <c r="O23" s="4"/>
      <c r="P23" s="4"/>
    </row>
    <row r="24" customFormat="false" ht="21.75" hidden="false" customHeight="true" outlineLevel="0" collapsed="false">
      <c r="A24" s="3"/>
      <c r="B24" s="20" t="s">
        <v>15</v>
      </c>
      <c r="C24" s="21" t="s">
        <v>16</v>
      </c>
      <c r="D24" s="21"/>
      <c r="E24" s="21"/>
      <c r="F24" s="20" t="s">
        <v>17</v>
      </c>
      <c r="G24" s="20"/>
      <c r="H24" s="22" t="str">
        <f aca="false">Master!$E$33</f>
        <v>✔ Seimbang</v>
      </c>
      <c r="I24" s="22"/>
      <c r="J24" s="3"/>
      <c r="K24" s="3"/>
    </row>
    <row r="25" customFormat="false" ht="21.75" hidden="false" customHeight="true" outlineLevel="0" collapsed="false">
      <c r="A25" s="3"/>
      <c r="B25" s="20" t="s">
        <v>18</v>
      </c>
      <c r="C25" s="21" t="s">
        <v>19</v>
      </c>
      <c r="D25" s="21"/>
      <c r="E25" s="21"/>
      <c r="F25" s="20" t="s">
        <v>20</v>
      </c>
      <c r="G25" s="20"/>
      <c r="H25" s="22" t="str">
        <f aca="false">'Neraca Saldo'!$D$33</f>
        <v>✔ SEIMBANG</v>
      </c>
      <c r="I25" s="22"/>
      <c r="J25" s="3"/>
      <c r="K25" s="3"/>
    </row>
    <row r="26" customFormat="false" ht="21.75" hidden="false" customHeight="true" outlineLevel="0" collapsed="false">
      <c r="A26" s="3"/>
      <c r="B26" s="20" t="s">
        <v>21</v>
      </c>
      <c r="C26" s="21" t="s">
        <v>22</v>
      </c>
      <c r="D26" s="21"/>
      <c r="E26" s="21"/>
      <c r="F26" s="20" t="s">
        <v>23</v>
      </c>
      <c r="G26" s="20"/>
      <c r="H26" s="22" t="str">
        <f aca="false">Analisis!$B$19</f>
        <v>✔ Aman</v>
      </c>
      <c r="I26" s="22"/>
      <c r="J26" s="3"/>
      <c r="K26" s="3"/>
    </row>
    <row r="27" customFormat="false" ht="21.75" hidden="false" customHeight="true" outlineLevel="0" collapsed="false">
      <c r="A27" s="3"/>
      <c r="B27" s="20" t="s">
        <v>24</v>
      </c>
      <c r="C27" s="21" t="s">
        <v>25</v>
      </c>
      <c r="D27" s="21"/>
      <c r="E27" s="21"/>
      <c r="F27" s="20" t="s">
        <v>26</v>
      </c>
      <c r="G27" s="20"/>
      <c r="H27" s="23" t="n">
        <f aca="false">COUNT(Penerimaan!$B$6:$B$400)+COUNT(Pengeluaran!$B$6:$B$400)</f>
        <v>112</v>
      </c>
      <c r="I27" s="23"/>
      <c r="J27" s="3"/>
      <c r="K27" s="3"/>
    </row>
    <row r="28" customFormat="false" ht="9.7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customFormat="false" ht="21.75" hidden="false" customHeight="true" outlineLevel="0" collapsed="false">
      <c r="A29" s="3"/>
      <c r="B29" s="7" t="s">
        <v>27</v>
      </c>
      <c r="C29" s="7"/>
      <c r="D29" s="7"/>
      <c r="E29" s="7"/>
      <c r="F29" s="7"/>
      <c r="G29" s="7"/>
      <c r="H29" s="7"/>
      <c r="I29" s="7"/>
      <c r="J29" s="3"/>
      <c r="K29" s="3"/>
    </row>
    <row r="30" customFormat="false" ht="19.5" hidden="false" customHeight="true" outlineLevel="0" collapsed="false">
      <c r="A30" s="3"/>
      <c r="B30" s="24" t="s">
        <v>28</v>
      </c>
      <c r="C30" s="24"/>
      <c r="D30" s="24"/>
      <c r="E30" s="24"/>
      <c r="F30" s="24"/>
      <c r="G30" s="24"/>
      <c r="H30" s="24"/>
      <c r="I30" s="24"/>
      <c r="J30" s="3"/>
      <c r="K30" s="3"/>
    </row>
    <row r="31" customFormat="false" ht="19.5" hidden="false" customHeight="true" outlineLevel="0" collapsed="false">
      <c r="A31" s="3"/>
      <c r="B31" s="25" t="s">
        <v>29</v>
      </c>
      <c r="C31" s="25"/>
      <c r="D31" s="25"/>
      <c r="E31" s="25"/>
      <c r="F31" s="25"/>
      <c r="G31" s="25"/>
      <c r="H31" s="25"/>
      <c r="I31" s="25"/>
      <c r="J31" s="3"/>
      <c r="K31" s="3"/>
    </row>
    <row r="32" customFormat="false" ht="19.5" hidden="false" customHeight="true" outlineLevel="0" collapsed="false">
      <c r="A32" s="3"/>
      <c r="B32" s="25" t="s">
        <v>30</v>
      </c>
      <c r="C32" s="25"/>
      <c r="D32" s="25"/>
      <c r="E32" s="25"/>
      <c r="F32" s="25"/>
      <c r="G32" s="25"/>
      <c r="H32" s="25"/>
      <c r="I32" s="25"/>
      <c r="J32" s="3"/>
      <c r="K32" s="3"/>
    </row>
    <row r="33" customFormat="false" ht="19.5" hidden="false" customHeight="true" outlineLevel="0" collapsed="false">
      <c r="A33" s="3"/>
      <c r="B33" s="25" t="s">
        <v>31</v>
      </c>
      <c r="C33" s="25"/>
      <c r="D33" s="25"/>
      <c r="E33" s="25"/>
      <c r="F33" s="25"/>
      <c r="G33" s="25"/>
      <c r="H33" s="25"/>
      <c r="I33" s="25"/>
      <c r="J33" s="3"/>
      <c r="K33" s="3"/>
    </row>
    <row r="34" customFormat="false" ht="19.5" hidden="false" customHeight="true" outlineLevel="0" collapsed="false">
      <c r="A34" s="3"/>
      <c r="B34" s="25" t="s">
        <v>32</v>
      </c>
      <c r="C34" s="25"/>
      <c r="D34" s="25"/>
      <c r="E34" s="25"/>
      <c r="F34" s="25"/>
      <c r="G34" s="25"/>
      <c r="H34" s="25"/>
      <c r="I34" s="25"/>
      <c r="J34" s="3"/>
      <c r="K34" s="3"/>
    </row>
    <row r="35" customFormat="false" ht="19.5" hidden="false" customHeight="true" outlineLevel="0" collapsed="false">
      <c r="A35" s="3"/>
      <c r="B35" s="25" t="s">
        <v>33</v>
      </c>
      <c r="C35" s="25"/>
      <c r="D35" s="25"/>
      <c r="E35" s="25"/>
      <c r="F35" s="25"/>
      <c r="G35" s="25"/>
      <c r="H35" s="25"/>
      <c r="I35" s="25"/>
      <c r="J35" s="3"/>
      <c r="K35" s="3"/>
    </row>
    <row r="36" customFormat="false" ht="19.5" hidden="false" customHeight="true" outlineLevel="0" collapsed="false">
      <c r="A36" s="3"/>
      <c r="B36" s="25" t="s">
        <v>34</v>
      </c>
      <c r="C36" s="25"/>
      <c r="D36" s="25"/>
      <c r="E36" s="25"/>
      <c r="F36" s="25"/>
      <c r="G36" s="25"/>
      <c r="H36" s="25"/>
      <c r="I36" s="25"/>
      <c r="J36" s="3"/>
      <c r="K36" s="3"/>
    </row>
    <row r="37" customFormat="false" ht="19.5" hidden="false" customHeight="true" outlineLevel="0" collapsed="false">
      <c r="A37" s="3"/>
      <c r="B37" s="25" t="s">
        <v>35</v>
      </c>
      <c r="C37" s="25"/>
      <c r="D37" s="25"/>
      <c r="E37" s="25"/>
      <c r="F37" s="25"/>
      <c r="G37" s="25"/>
      <c r="H37" s="25"/>
      <c r="I37" s="25"/>
      <c r="J37" s="3"/>
      <c r="K37" s="3"/>
    </row>
    <row r="38" customFormat="false" ht="19.5" hidden="false" customHeight="true" outlineLevel="0" collapsed="false">
      <c r="A38" s="3"/>
      <c r="B38" s="25" t="s">
        <v>36</v>
      </c>
      <c r="C38" s="25"/>
      <c r="D38" s="25"/>
      <c r="E38" s="25"/>
      <c r="F38" s="25"/>
      <c r="G38" s="25"/>
      <c r="H38" s="25"/>
      <c r="I38" s="25"/>
      <c r="J38" s="3"/>
      <c r="K38" s="3"/>
    </row>
    <row r="39" customFormat="false" ht="19.5" hidden="false" customHeight="true" outlineLevel="0" collapsed="false">
      <c r="A39" s="3"/>
      <c r="B39" s="26" t="s">
        <v>37</v>
      </c>
      <c r="C39" s="26"/>
      <c r="D39" s="26"/>
      <c r="E39" s="26"/>
      <c r="F39" s="26"/>
      <c r="G39" s="26"/>
      <c r="H39" s="26"/>
      <c r="I39" s="26"/>
      <c r="J39" s="3"/>
      <c r="K39" s="3"/>
    </row>
    <row r="40" customFormat="false" ht="14.25" hidden="false" customHeight="true" outlineLevel="0" collapsed="false">
      <c r="A40" s="3"/>
      <c r="B40" s="27" t="s">
        <v>38</v>
      </c>
      <c r="C40" s="27"/>
      <c r="D40" s="27"/>
      <c r="E40" s="27"/>
      <c r="F40" s="27"/>
      <c r="G40" s="27"/>
      <c r="H40" s="27"/>
      <c r="I40" s="27"/>
      <c r="J40" s="3"/>
      <c r="K40" s="3"/>
    </row>
    <row r="41" customFormat="false" ht="14.2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customFormat="false" ht="14.2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customFormat="false" ht="14.2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customFormat="false" ht="14.2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customFormat="false" ht="14.2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customFormat="false" ht="14.2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mergeCells count="67">
    <mergeCell ref="B1:I1"/>
    <mergeCell ref="B2:I2"/>
    <mergeCell ref="B5:I5"/>
    <mergeCell ref="B6:C6"/>
    <mergeCell ref="E6:F6"/>
    <mergeCell ref="H6:I6"/>
    <mergeCell ref="B7:C7"/>
    <mergeCell ref="E7:F7"/>
    <mergeCell ref="H7:I7"/>
    <mergeCell ref="B8:C8"/>
    <mergeCell ref="E8:F8"/>
    <mergeCell ref="H8:I8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B22:E22"/>
    <mergeCell ref="F22:I22"/>
    <mergeCell ref="C23:E23"/>
    <mergeCell ref="F23:G23"/>
    <mergeCell ref="H23:I23"/>
    <mergeCell ref="C24:E24"/>
    <mergeCell ref="F24:G24"/>
    <mergeCell ref="H24:I24"/>
    <mergeCell ref="C25:E25"/>
    <mergeCell ref="F25:G25"/>
    <mergeCell ref="H25:I25"/>
    <mergeCell ref="C26:E26"/>
    <mergeCell ref="F26:G26"/>
    <mergeCell ref="H26:I26"/>
    <mergeCell ref="C27:E27"/>
    <mergeCell ref="F27:G27"/>
    <mergeCell ref="H27:I27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38:I38"/>
    <mergeCell ref="B39:I39"/>
    <mergeCell ref="B40:I40"/>
  </mergeCells>
  <conditionalFormatting sqref="H23:I23">
    <cfRule type="expression" priority="2" aboveAverage="0" equalAverage="0" bottom="0" percent="0" rank="0" text="" dxfId="0">
      <formula>LEFT($H$23,1)="✔"</formula>
    </cfRule>
    <cfRule type="expression" priority="3" aboveAverage="0" equalAverage="0" bottom="0" percent="0" rank="0" text="" dxfId="1">
      <formula>LEFT($H$23,1)="●"</formula>
    </cfRule>
    <cfRule type="expression" priority="4" aboveAverage="0" equalAverage="0" bottom="0" percent="0" rank="0" text="" dxfId="1">
      <formula>LEFT($H$23,1)="○"</formula>
    </cfRule>
    <cfRule type="expression" priority="5" aboveAverage="0" equalAverage="0" bottom="0" percent="0" rank="0" text="" dxfId="2">
      <formula>LEFT($H$23,1)="⚠"</formula>
    </cfRule>
  </conditionalFormatting>
  <conditionalFormatting sqref="H24:I24">
    <cfRule type="expression" priority="6" aboveAverage="0" equalAverage="0" bottom="0" percent="0" rank="0" text="" dxfId="0">
      <formula>LEFT($H$24,1)="✔"</formula>
    </cfRule>
    <cfRule type="expression" priority="7" aboveAverage="0" equalAverage="0" bottom="0" percent="0" rank="0" text="" dxfId="1">
      <formula>LEFT($H$24,1)="●"</formula>
    </cfRule>
    <cfRule type="expression" priority="8" aboveAverage="0" equalAverage="0" bottom="0" percent="0" rank="0" text="" dxfId="1">
      <formula>LEFT($H$24,1)="○"</formula>
    </cfRule>
    <cfRule type="expression" priority="9" aboveAverage="0" equalAverage="0" bottom="0" percent="0" rank="0" text="" dxfId="2">
      <formula>LEFT($H$24,1)="⚠"</formula>
    </cfRule>
  </conditionalFormatting>
  <conditionalFormatting sqref="H25:I25">
    <cfRule type="expression" priority="10" aboveAverage="0" equalAverage="0" bottom="0" percent="0" rank="0" text="" dxfId="0">
      <formula>LEFT($H$25,1)="✔"</formula>
    </cfRule>
    <cfRule type="expression" priority="11" aboveAverage="0" equalAverage="0" bottom="0" percent="0" rank="0" text="" dxfId="1">
      <formula>LEFT($H$25,1)="●"</formula>
    </cfRule>
    <cfRule type="expression" priority="12" aboveAverage="0" equalAverage="0" bottom="0" percent="0" rank="0" text="" dxfId="1">
      <formula>LEFT($H$25,1)="○"</formula>
    </cfRule>
    <cfRule type="expression" priority="13" aboveAverage="0" equalAverage="0" bottom="0" percent="0" rank="0" text="" dxfId="2">
      <formula>LEFT($H$25,1)="⚠"</formula>
    </cfRule>
  </conditionalFormatting>
  <conditionalFormatting sqref="H26:I26">
    <cfRule type="expression" priority="14" aboveAverage="0" equalAverage="0" bottom="0" percent="0" rank="0" text="" dxfId="0">
      <formula>LEFT($H$26,1)="✔"</formula>
    </cfRule>
    <cfRule type="expression" priority="15" aboveAverage="0" equalAverage="0" bottom="0" percent="0" rank="0" text="" dxfId="1">
      <formula>LEFT($H$26,1)="●"</formula>
    </cfRule>
    <cfRule type="expression" priority="16" aboveAverage="0" equalAverage="0" bottom="0" percent="0" rank="0" text="" dxfId="1">
      <formula>LEFT($H$26,1)="○"</formula>
    </cfRule>
    <cfRule type="expression" priority="17" aboveAverage="0" equalAverage="0" bottom="0" percent="0" rank="0" text="" dxfId="2">
      <formula>LEFT($H$26,1)="⚠"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M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8"/>
    <col collapsed="false" customWidth="true" hidden="false" outlineLevel="0" max="3" min="3" style="0" width="15"/>
    <col collapsed="false" customWidth="true" hidden="false" outlineLevel="0" max="7" min="4" style="0" width="18"/>
    <col collapsed="false" customWidth="true" hidden="false" outlineLevel="0" max="8" min="8" style="0" width="2.2"/>
  </cols>
  <sheetData>
    <row r="1" customFormat="false" ht="33.75" hidden="false" customHeight="true" outlineLevel="0" collapsed="false">
      <c r="A1" s="2" t="s">
        <v>258</v>
      </c>
      <c r="B1" s="2"/>
      <c r="C1" s="2"/>
      <c r="D1" s="2"/>
      <c r="E1" s="2"/>
      <c r="F1" s="28" t="str">
        <f aca="false">HYPERLINK("#Beranda!A1","⌂  Beranda")</f>
        <v>⌂  Beranda</v>
      </c>
      <c r="G1" s="28"/>
      <c r="H1" s="4"/>
      <c r="I1" s="4"/>
      <c r="J1" s="4"/>
      <c r="K1" s="4"/>
      <c r="L1" s="4"/>
      <c r="M1" s="4"/>
    </row>
    <row r="2" customFormat="false" ht="15.75" hidden="false" customHeight="true" outlineLevel="0" collapsed="false">
      <c r="A2" s="5" t="s">
        <v>259</v>
      </c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31"/>
      <c r="I3" s="4"/>
      <c r="J3" s="4"/>
      <c r="K3" s="4"/>
      <c r="L3" s="4"/>
      <c r="M3" s="4"/>
    </row>
    <row r="4" customFormat="false" ht="25.5" hidden="false" customHeight="true" outlineLevel="0" collapsed="false">
      <c r="A4" s="44" t="s">
        <v>260</v>
      </c>
      <c r="B4" s="44" t="s">
        <v>261</v>
      </c>
      <c r="C4" s="56" t="s">
        <v>262</v>
      </c>
      <c r="D4" s="56" t="s">
        <v>222</v>
      </c>
      <c r="E4" s="56" t="s">
        <v>263</v>
      </c>
      <c r="F4" s="56" t="s">
        <v>264</v>
      </c>
      <c r="G4" s="56" t="s">
        <v>225</v>
      </c>
      <c r="H4" s="31"/>
      <c r="I4" s="4"/>
      <c r="J4" s="4"/>
      <c r="K4" s="4"/>
      <c r="L4" s="4"/>
      <c r="M4" s="4"/>
    </row>
    <row r="5" customFormat="false" ht="18" hidden="false" customHeight="true" outlineLevel="0" collapsed="false">
      <c r="A5" s="123" t="s">
        <v>265</v>
      </c>
      <c r="B5" s="104" t="s">
        <v>266</v>
      </c>
      <c r="C5" s="124" t="s">
        <v>267</v>
      </c>
      <c r="D5" s="77" t="n">
        <f aca="false">SaldoAwalKas</f>
        <v>15000000</v>
      </c>
      <c r="E5" s="77" t="n">
        <f aca="false">SUMIFS(Penerimaan!$J$6:$J$400,Penerimaan!$H$6:$H$400,"Tunai")</f>
        <v>131040000</v>
      </c>
      <c r="F5" s="77" t="n">
        <f aca="false">SUMIFS(Pengeluaran!$J$6:$J$400,Pengeluaran!$H$6:$H$400,"Tunai")</f>
        <v>59850000</v>
      </c>
      <c r="G5" s="125" t="n">
        <f aca="false">D5+E5-F5</f>
        <v>86190000</v>
      </c>
      <c r="H5" s="31"/>
      <c r="I5" s="4"/>
      <c r="J5" s="4"/>
      <c r="K5" s="4"/>
      <c r="L5" s="4"/>
      <c r="M5" s="4"/>
    </row>
    <row r="6" customFormat="false" ht="18" hidden="false" customHeight="true" outlineLevel="0" collapsed="false">
      <c r="A6" s="126" t="s">
        <v>268</v>
      </c>
      <c r="B6" s="106" t="s">
        <v>131</v>
      </c>
      <c r="C6" s="127" t="s">
        <v>267</v>
      </c>
      <c r="D6" s="82" t="n">
        <f aca="false">SaldoAwalBank</f>
        <v>85000000</v>
      </c>
      <c r="E6" s="82" t="n">
        <f aca="false">(SUMIFS(Penerimaan!$J$6:$J$400,Penerimaan!$H$6:$H$400,"Transfer Bank")+SUMIFS(Penerimaan!$J$6:$J$400,Penerimaan!$H$6:$H$400,"QRIS"))</f>
        <v>113010000</v>
      </c>
      <c r="F6" s="82" t="n">
        <f aca="false">(SUMIFS(Pengeluaran!$J$6:$J$400,Pengeluaran!$H$6:$H$400,"Transfer Bank")+SUMIFS(Pengeluaran!$J$6:$J$400,Pengeluaran!$H$6:$H$400,"QRIS"))</f>
        <v>75385000</v>
      </c>
      <c r="G6" s="128" t="n">
        <f aca="false">D6+E6-F6</f>
        <v>122625000</v>
      </c>
      <c r="H6" s="31"/>
      <c r="I6" s="4"/>
      <c r="J6" s="4"/>
      <c r="K6" s="4"/>
      <c r="L6" s="4"/>
      <c r="M6" s="4"/>
    </row>
    <row r="7" customFormat="false" ht="18" hidden="false" customHeight="true" outlineLevel="0" collapsed="false">
      <c r="A7" s="123" t="s">
        <v>269</v>
      </c>
      <c r="B7" s="104" t="s">
        <v>270</v>
      </c>
      <c r="C7" s="124" t="s">
        <v>271</v>
      </c>
      <c r="D7" s="77" t="n">
        <f aca="false">Master!$E$25</f>
        <v>25000000</v>
      </c>
      <c r="E7" s="77" t="n">
        <v>0</v>
      </c>
      <c r="F7" s="77" t="n">
        <v>0</v>
      </c>
      <c r="G7" s="125" t="n">
        <f aca="false">D7+F7-E7</f>
        <v>25000000</v>
      </c>
      <c r="H7" s="31"/>
      <c r="I7" s="4"/>
      <c r="J7" s="4"/>
      <c r="K7" s="4"/>
      <c r="L7" s="4"/>
      <c r="M7" s="4"/>
    </row>
    <row r="8" customFormat="false" ht="18" hidden="false" customHeight="true" outlineLevel="0" collapsed="false">
      <c r="A8" s="126" t="s">
        <v>272</v>
      </c>
      <c r="B8" s="106" t="s">
        <v>273</v>
      </c>
      <c r="C8" s="127" t="s">
        <v>271</v>
      </c>
      <c r="D8" s="82" t="n">
        <f aca="false">Master!$E$26</f>
        <v>45000000</v>
      </c>
      <c r="E8" s="82" t="n">
        <v>0</v>
      </c>
      <c r="F8" s="82" t="n">
        <v>0</v>
      </c>
      <c r="G8" s="128" t="n">
        <f aca="false">D8+F8-E8</f>
        <v>45000000</v>
      </c>
      <c r="H8" s="31"/>
      <c r="I8" s="4"/>
      <c r="J8" s="4"/>
      <c r="K8" s="4"/>
      <c r="L8" s="4"/>
      <c r="M8" s="4"/>
    </row>
    <row r="9" customFormat="false" ht="18" hidden="false" customHeight="true" outlineLevel="0" collapsed="false">
      <c r="A9" s="123" t="s">
        <v>274</v>
      </c>
      <c r="B9" s="104" t="s">
        <v>275</v>
      </c>
      <c r="C9" s="124" t="s">
        <v>271</v>
      </c>
      <c r="D9" s="77" t="n">
        <f aca="false">Master!$E$27</f>
        <v>5000000</v>
      </c>
      <c r="E9" s="77" t="n">
        <v>0</v>
      </c>
      <c r="F9" s="77" t="n">
        <v>0</v>
      </c>
      <c r="G9" s="125" t="n">
        <f aca="false">D9+F9-E9</f>
        <v>5000000</v>
      </c>
      <c r="H9" s="31"/>
      <c r="I9" s="4"/>
      <c r="J9" s="4"/>
      <c r="K9" s="4"/>
      <c r="L9" s="4"/>
      <c r="M9" s="4"/>
    </row>
    <row r="10" customFormat="false" ht="18" hidden="false" customHeight="true" outlineLevel="0" collapsed="false">
      <c r="A10" s="126" t="s">
        <v>276</v>
      </c>
      <c r="B10" s="106" t="s">
        <v>277</v>
      </c>
      <c r="C10" s="127" t="s">
        <v>271</v>
      </c>
      <c r="D10" s="82" t="n">
        <f aca="false">Master!$E$28</f>
        <v>10000000</v>
      </c>
      <c r="E10" s="82" t="n">
        <v>0</v>
      </c>
      <c r="F10" s="82" t="n">
        <v>0</v>
      </c>
      <c r="G10" s="128" t="n">
        <f aca="false">D10+F10-E10</f>
        <v>10000000</v>
      </c>
      <c r="H10" s="31"/>
      <c r="I10" s="4"/>
      <c r="J10" s="4"/>
      <c r="K10" s="4"/>
      <c r="L10" s="4"/>
      <c r="M10" s="4"/>
    </row>
    <row r="11" customFormat="false" ht="18" hidden="false" customHeight="true" outlineLevel="0" collapsed="false">
      <c r="A11" s="123" t="s">
        <v>278</v>
      </c>
      <c r="B11" s="104" t="s">
        <v>279</v>
      </c>
      <c r="C11" s="124" t="s">
        <v>271</v>
      </c>
      <c r="D11" s="77" t="n">
        <f aca="false">Master!$E$29</f>
        <v>5000000</v>
      </c>
      <c r="E11" s="77" t="n">
        <v>0</v>
      </c>
      <c r="F11" s="77" t="n">
        <v>0</v>
      </c>
      <c r="G11" s="125" t="n">
        <f aca="false">D11+F11-E11</f>
        <v>5000000</v>
      </c>
      <c r="H11" s="31"/>
      <c r="I11" s="4"/>
      <c r="J11" s="4"/>
      <c r="K11" s="4"/>
      <c r="L11" s="4"/>
      <c r="M11" s="4"/>
    </row>
    <row r="12" customFormat="false" ht="18" hidden="false" customHeight="true" outlineLevel="0" collapsed="false">
      <c r="A12" s="126" t="s">
        <v>280</v>
      </c>
      <c r="B12" s="106" t="s">
        <v>281</v>
      </c>
      <c r="C12" s="127" t="s">
        <v>271</v>
      </c>
      <c r="D12" s="82" t="n">
        <f aca="false">Master!$E$30</f>
        <v>8000000</v>
      </c>
      <c r="E12" s="82" t="n">
        <v>0</v>
      </c>
      <c r="F12" s="82" t="n">
        <v>0</v>
      </c>
      <c r="G12" s="128" t="n">
        <f aca="false">D12+F12-E12</f>
        <v>8000000</v>
      </c>
      <c r="H12" s="31"/>
      <c r="I12" s="4"/>
      <c r="J12" s="4"/>
      <c r="K12" s="4"/>
      <c r="L12" s="4"/>
      <c r="M12" s="4"/>
    </row>
    <row r="13" customFormat="false" ht="18" hidden="false" customHeight="true" outlineLevel="0" collapsed="false">
      <c r="A13" s="123" t="s">
        <v>282</v>
      </c>
      <c r="B13" s="104" t="s">
        <v>283</v>
      </c>
      <c r="C13" s="124" t="s">
        <v>271</v>
      </c>
      <c r="D13" s="77" t="n">
        <f aca="false">Master!$E$31</f>
        <v>2000000</v>
      </c>
      <c r="E13" s="77" t="n">
        <v>0</v>
      </c>
      <c r="F13" s="77" t="n">
        <v>0</v>
      </c>
      <c r="G13" s="125" t="n">
        <f aca="false">D13+F13-E13</f>
        <v>2000000</v>
      </c>
      <c r="H13" s="31"/>
      <c r="I13" s="4"/>
      <c r="J13" s="4"/>
      <c r="K13" s="4"/>
      <c r="L13" s="4"/>
      <c r="M13" s="4"/>
    </row>
    <row r="14" customFormat="false" ht="18" hidden="false" customHeight="true" outlineLevel="0" collapsed="false">
      <c r="A14" s="126" t="s">
        <v>284</v>
      </c>
      <c r="B14" s="106" t="s">
        <v>285</v>
      </c>
      <c r="C14" s="127" t="s">
        <v>286</v>
      </c>
      <c r="D14" s="82" t="n">
        <v>0</v>
      </c>
      <c r="E14" s="82" t="n">
        <v>0</v>
      </c>
      <c r="F14" s="82" t="n">
        <f aca="false">SUMIFS(Penerimaan!$J$6:$J$400,Penerimaan!$E$6:$E$400,"Infak Jumat")</f>
        <v>90340000</v>
      </c>
      <c r="G14" s="128" t="n">
        <f aca="false">F14-E14</f>
        <v>90340000</v>
      </c>
      <c r="H14" s="31"/>
      <c r="I14" s="4"/>
      <c r="J14" s="4"/>
      <c r="K14" s="4"/>
      <c r="L14" s="4"/>
      <c r="M14" s="4"/>
    </row>
    <row r="15" customFormat="false" ht="18" hidden="false" customHeight="true" outlineLevel="0" collapsed="false">
      <c r="A15" s="123" t="s">
        <v>287</v>
      </c>
      <c r="B15" s="104" t="s">
        <v>288</v>
      </c>
      <c r="C15" s="124" t="s">
        <v>286</v>
      </c>
      <c r="D15" s="77" t="n">
        <v>0</v>
      </c>
      <c r="E15" s="77" t="n">
        <v>0</v>
      </c>
      <c r="F15" s="77" t="n">
        <f aca="false">SUMIFS(Penerimaan!$J$6:$J$400,Penerimaan!$E$6:$E$400,"Infak Harian")</f>
        <v>12910000</v>
      </c>
      <c r="G15" s="125" t="n">
        <f aca="false">F15-E15</f>
        <v>12910000</v>
      </c>
      <c r="H15" s="31"/>
      <c r="I15" s="4"/>
      <c r="J15" s="4"/>
      <c r="K15" s="4"/>
      <c r="L15" s="4"/>
      <c r="M15" s="4"/>
    </row>
    <row r="16" customFormat="false" ht="18" hidden="false" customHeight="true" outlineLevel="0" collapsed="false">
      <c r="A16" s="126" t="s">
        <v>289</v>
      </c>
      <c r="B16" s="106" t="s">
        <v>290</v>
      </c>
      <c r="C16" s="127" t="s">
        <v>286</v>
      </c>
      <c r="D16" s="82" t="n">
        <v>0</v>
      </c>
      <c r="E16" s="82" t="n">
        <v>0</v>
      </c>
      <c r="F16" s="82" t="n">
        <f aca="false">SUMIFS(Penerimaan!$J$6:$J$400,Penerimaan!$E$6:$E$400,"Kotak Amal")</f>
        <v>8790000</v>
      </c>
      <c r="G16" s="128" t="n">
        <f aca="false">F16-E16</f>
        <v>8790000</v>
      </c>
      <c r="H16" s="31"/>
      <c r="I16" s="4"/>
      <c r="J16" s="4"/>
      <c r="K16" s="4"/>
      <c r="L16" s="4"/>
      <c r="M16" s="4"/>
    </row>
    <row r="17" customFormat="false" ht="18" hidden="false" customHeight="true" outlineLevel="0" collapsed="false">
      <c r="A17" s="123" t="s">
        <v>291</v>
      </c>
      <c r="B17" s="104" t="s">
        <v>292</v>
      </c>
      <c r="C17" s="124" t="s">
        <v>286</v>
      </c>
      <c r="D17" s="77" t="n">
        <v>0</v>
      </c>
      <c r="E17" s="77" t="n">
        <v>0</v>
      </c>
      <c r="F17" s="77" t="n">
        <f aca="false">SUMIFS(Penerimaan!$J$6:$J$400,Penerimaan!$E$6:$E$400,"Zakat Fitrah")</f>
        <v>17150000</v>
      </c>
      <c r="G17" s="125" t="n">
        <f aca="false">F17-E17</f>
        <v>17150000</v>
      </c>
      <c r="H17" s="31"/>
      <c r="I17" s="4"/>
      <c r="J17" s="4"/>
      <c r="K17" s="4"/>
      <c r="L17" s="4"/>
      <c r="M17" s="4"/>
    </row>
    <row r="18" customFormat="false" ht="18" hidden="false" customHeight="true" outlineLevel="0" collapsed="false">
      <c r="A18" s="126" t="s">
        <v>293</v>
      </c>
      <c r="B18" s="106" t="s">
        <v>294</v>
      </c>
      <c r="C18" s="127" t="s">
        <v>286</v>
      </c>
      <c r="D18" s="82" t="n">
        <v>0</v>
      </c>
      <c r="E18" s="82" t="n">
        <v>0</v>
      </c>
      <c r="F18" s="82" t="n">
        <f aca="false">SUMIFS(Penerimaan!$J$6:$J$400,Penerimaan!$E$6:$E$400,"Zakat Maal")</f>
        <v>6250000</v>
      </c>
      <c r="G18" s="128" t="n">
        <f aca="false">F18-E18</f>
        <v>6250000</v>
      </c>
      <c r="H18" s="31"/>
      <c r="I18" s="4"/>
      <c r="J18" s="4"/>
      <c r="K18" s="4"/>
      <c r="L18" s="4"/>
      <c r="M18" s="4"/>
    </row>
    <row r="19" customFormat="false" ht="18" hidden="false" customHeight="true" outlineLevel="0" collapsed="false">
      <c r="A19" s="123" t="s">
        <v>295</v>
      </c>
      <c r="B19" s="104" t="s">
        <v>296</v>
      </c>
      <c r="C19" s="124" t="s">
        <v>286</v>
      </c>
      <c r="D19" s="77" t="n">
        <v>0</v>
      </c>
      <c r="E19" s="77" t="n">
        <v>0</v>
      </c>
      <c r="F19" s="77" t="n">
        <f aca="false">SUMIFS(Penerimaan!$J$6:$J$400,Penerimaan!$E$6:$E$400,"Wakaf Tunai")</f>
        <v>20000000</v>
      </c>
      <c r="G19" s="125" t="n">
        <f aca="false">F19-E19</f>
        <v>20000000</v>
      </c>
      <c r="H19" s="31"/>
      <c r="I19" s="4"/>
      <c r="J19" s="4"/>
      <c r="K19" s="4"/>
      <c r="L19" s="4"/>
      <c r="M19" s="4"/>
    </row>
    <row r="20" customFormat="false" ht="18" hidden="false" customHeight="true" outlineLevel="0" collapsed="false">
      <c r="A20" s="126" t="s">
        <v>297</v>
      </c>
      <c r="B20" s="106" t="s">
        <v>298</v>
      </c>
      <c r="C20" s="127" t="s">
        <v>286</v>
      </c>
      <c r="D20" s="82" t="n">
        <v>0</v>
      </c>
      <c r="E20" s="82" t="n">
        <v>0</v>
      </c>
      <c r="F20" s="82" t="n">
        <f aca="false">SUMIFS(Penerimaan!$J$6:$J$400,Penerimaan!$E$6:$E$400,"Hibah")</f>
        <v>10000000</v>
      </c>
      <c r="G20" s="128" t="n">
        <f aca="false">F20-E20</f>
        <v>10000000</v>
      </c>
      <c r="H20" s="31"/>
      <c r="I20" s="4"/>
      <c r="J20" s="4"/>
      <c r="K20" s="4"/>
      <c r="L20" s="4"/>
      <c r="M20" s="4"/>
    </row>
    <row r="21" customFormat="false" ht="18" hidden="false" customHeight="true" outlineLevel="0" collapsed="false">
      <c r="A21" s="123" t="s">
        <v>299</v>
      </c>
      <c r="B21" s="104" t="s">
        <v>300</v>
      </c>
      <c r="C21" s="124" t="s">
        <v>286</v>
      </c>
      <c r="D21" s="77" t="n">
        <v>0</v>
      </c>
      <c r="E21" s="77" t="n">
        <v>0</v>
      </c>
      <c r="F21" s="77" t="n">
        <f aca="false">SUMIFS(Penerimaan!$J$6:$J$400,Penerimaan!$E$6:$E$400,"Donasi Online")</f>
        <v>43260000</v>
      </c>
      <c r="G21" s="125" t="n">
        <f aca="false">F21-E21</f>
        <v>43260000</v>
      </c>
      <c r="H21" s="31"/>
      <c r="I21" s="4"/>
      <c r="J21" s="4"/>
      <c r="K21" s="4"/>
      <c r="L21" s="4"/>
      <c r="M21" s="4"/>
    </row>
    <row r="22" customFormat="false" ht="18" hidden="false" customHeight="true" outlineLevel="0" collapsed="false">
      <c r="A22" s="126" t="s">
        <v>301</v>
      </c>
      <c r="B22" s="106" t="s">
        <v>302</v>
      </c>
      <c r="C22" s="127" t="s">
        <v>286</v>
      </c>
      <c r="D22" s="82" t="n">
        <v>0</v>
      </c>
      <c r="E22" s="82" t="n">
        <v>0</v>
      </c>
      <c r="F22" s="82" t="n">
        <f aca="false">SUMIFS(Penerimaan!$J$6:$J$400,Penerimaan!$E$6:$E$400,"Pendapatan Sewa")</f>
        <v>9000000</v>
      </c>
      <c r="G22" s="128" t="n">
        <f aca="false">F22-E22</f>
        <v>9000000</v>
      </c>
      <c r="H22" s="31"/>
      <c r="I22" s="4"/>
      <c r="J22" s="4"/>
      <c r="K22" s="4"/>
      <c r="L22" s="4"/>
      <c r="M22" s="4"/>
    </row>
    <row r="23" customFormat="false" ht="18" hidden="false" customHeight="true" outlineLevel="0" collapsed="false">
      <c r="A23" s="123" t="s">
        <v>303</v>
      </c>
      <c r="B23" s="104" t="s">
        <v>304</v>
      </c>
      <c r="C23" s="124" t="s">
        <v>286</v>
      </c>
      <c r="D23" s="77" t="n">
        <v>0</v>
      </c>
      <c r="E23" s="77" t="n">
        <v>0</v>
      </c>
      <c r="F23" s="77" t="n">
        <f aca="false">SUMIFS(Penerimaan!$J$6:$J$400,Penerimaan!$E$6:$E$400,"Pendapatan Usaha")</f>
        <v>1850000</v>
      </c>
      <c r="G23" s="125" t="n">
        <f aca="false">F23-E23</f>
        <v>1850000</v>
      </c>
      <c r="H23" s="31"/>
      <c r="I23" s="4"/>
      <c r="J23" s="4"/>
      <c r="K23" s="4"/>
      <c r="L23" s="4"/>
      <c r="M23" s="4"/>
    </row>
    <row r="24" customFormat="false" ht="18" hidden="false" customHeight="true" outlineLevel="0" collapsed="false">
      <c r="A24" s="126" t="s">
        <v>305</v>
      </c>
      <c r="B24" s="106" t="s">
        <v>306</v>
      </c>
      <c r="C24" s="127" t="s">
        <v>286</v>
      </c>
      <c r="D24" s="82" t="n">
        <v>0</v>
      </c>
      <c r="E24" s="82" t="n">
        <v>0</v>
      </c>
      <c r="F24" s="82" t="n">
        <f aca="false">SUMIFS(Penerimaan!$J$6:$J$400,Penerimaan!$E$6:$E$400,"Kurban")</f>
        <v>24500000</v>
      </c>
      <c r="G24" s="128" t="n">
        <f aca="false">F24-E24</f>
        <v>24500000</v>
      </c>
      <c r="H24" s="31"/>
      <c r="I24" s="4"/>
      <c r="J24" s="4"/>
      <c r="K24" s="4"/>
      <c r="L24" s="4"/>
      <c r="M24" s="4"/>
    </row>
    <row r="25" customFormat="false" ht="18" hidden="false" customHeight="true" outlineLevel="0" collapsed="false">
      <c r="A25" s="123" t="s">
        <v>307</v>
      </c>
      <c r="B25" s="104" t="s">
        <v>308</v>
      </c>
      <c r="C25" s="124" t="s">
        <v>286</v>
      </c>
      <c r="D25" s="77" t="n">
        <v>0</v>
      </c>
      <c r="E25" s="77" t="n">
        <v>0</v>
      </c>
      <c r="F25" s="77" t="n">
        <f aca="false">SUMIFS(Penerimaan!$J$6:$J$400,Penerimaan!$E$6:$E$400,"Lainnya")</f>
        <v>0</v>
      </c>
      <c r="G25" s="125" t="n">
        <f aca="false">F25-E25</f>
        <v>0</v>
      </c>
      <c r="H25" s="31"/>
      <c r="I25" s="4"/>
      <c r="J25" s="4"/>
      <c r="K25" s="4"/>
      <c r="L25" s="4"/>
      <c r="M25" s="4"/>
    </row>
    <row r="26" customFormat="false" ht="18" hidden="false" customHeight="true" outlineLevel="0" collapsed="false">
      <c r="A26" s="126" t="s">
        <v>309</v>
      </c>
      <c r="B26" s="106" t="s">
        <v>310</v>
      </c>
      <c r="C26" s="127" t="s">
        <v>311</v>
      </c>
      <c r="D26" s="82" t="n">
        <v>0</v>
      </c>
      <c r="E26" s="82" t="n">
        <f aca="false">SUMIFS(Pengeluaran!$J$6:$J$400,Pengeluaran!$E$6:$E$400,"Listrik &amp; Air")</f>
        <v>8235000</v>
      </c>
      <c r="F26" s="82" t="n">
        <v>0</v>
      </c>
      <c r="G26" s="128" t="n">
        <f aca="false">E26-F26</f>
        <v>8235000</v>
      </c>
      <c r="H26" s="31"/>
      <c r="I26" s="4"/>
      <c r="J26" s="4"/>
      <c r="K26" s="4"/>
      <c r="L26" s="4"/>
      <c r="M26" s="4"/>
    </row>
    <row r="27" customFormat="false" ht="18" hidden="false" customHeight="true" outlineLevel="0" collapsed="false">
      <c r="A27" s="123" t="s">
        <v>312</v>
      </c>
      <c r="B27" s="104" t="s">
        <v>313</v>
      </c>
      <c r="C27" s="124" t="s">
        <v>311</v>
      </c>
      <c r="D27" s="77" t="n">
        <v>0</v>
      </c>
      <c r="E27" s="77" t="n">
        <f aca="false">SUMIFS(Pengeluaran!$J$6:$J$400,Pengeluaran!$E$6:$E$400,"Kebersihan &amp; Keamanan")</f>
        <v>2700000</v>
      </c>
      <c r="F27" s="77" t="n">
        <v>0</v>
      </c>
      <c r="G27" s="125" t="n">
        <f aca="false">E27-F27</f>
        <v>2700000</v>
      </c>
      <c r="H27" s="31"/>
      <c r="I27" s="4"/>
      <c r="J27" s="4"/>
      <c r="K27" s="4"/>
      <c r="L27" s="4"/>
      <c r="M27" s="4"/>
    </row>
    <row r="28" customFormat="false" ht="18" hidden="false" customHeight="true" outlineLevel="0" collapsed="false">
      <c r="A28" s="126" t="s">
        <v>314</v>
      </c>
      <c r="B28" s="106" t="s">
        <v>315</v>
      </c>
      <c r="C28" s="127" t="s">
        <v>311</v>
      </c>
      <c r="D28" s="82" t="n">
        <v>0</v>
      </c>
      <c r="E28" s="82" t="n">
        <f aca="false">SUMIFS(Pengeluaran!$J$6:$J$400,Pengeluaran!$E$6:$E$400,"Honorarium")</f>
        <v>21000000</v>
      </c>
      <c r="F28" s="82" t="n">
        <v>0</v>
      </c>
      <c r="G28" s="128" t="n">
        <f aca="false">E28-F28</f>
        <v>21000000</v>
      </c>
      <c r="H28" s="31"/>
      <c r="I28" s="4"/>
      <c r="J28" s="4"/>
      <c r="K28" s="4"/>
      <c r="L28" s="4"/>
      <c r="M28" s="4"/>
    </row>
    <row r="29" customFormat="false" ht="18" hidden="false" customHeight="true" outlineLevel="0" collapsed="false">
      <c r="A29" s="123" t="s">
        <v>316</v>
      </c>
      <c r="B29" s="104" t="s">
        <v>317</v>
      </c>
      <c r="C29" s="124" t="s">
        <v>311</v>
      </c>
      <c r="D29" s="77" t="n">
        <v>0</v>
      </c>
      <c r="E29" s="77" t="n">
        <f aca="false">SUMIFS(Pengeluaran!$J$6:$J$400,Pengeluaran!$E$6:$E$400,"Kegiatan Dakwah")</f>
        <v>5100000</v>
      </c>
      <c r="F29" s="77" t="n">
        <v>0</v>
      </c>
      <c r="G29" s="125" t="n">
        <f aca="false">E29-F29</f>
        <v>5100000</v>
      </c>
      <c r="H29" s="31"/>
      <c r="I29" s="4"/>
      <c r="J29" s="4"/>
      <c r="K29" s="4"/>
      <c r="L29" s="4"/>
      <c r="M29" s="4"/>
    </row>
    <row r="30" customFormat="false" ht="18" hidden="false" customHeight="true" outlineLevel="0" collapsed="false">
      <c r="A30" s="126" t="s">
        <v>318</v>
      </c>
      <c r="B30" s="106" t="s">
        <v>319</v>
      </c>
      <c r="C30" s="127" t="s">
        <v>311</v>
      </c>
      <c r="D30" s="82" t="n">
        <v>0</v>
      </c>
      <c r="E30" s="82" t="n">
        <f aca="false">SUMIFS(Pengeluaran!$J$6:$J$400,Pengeluaran!$E$6:$E$400,"Pendidikan (TPA)")</f>
        <v>7200000</v>
      </c>
      <c r="F30" s="82" t="n">
        <v>0</v>
      </c>
      <c r="G30" s="128" t="n">
        <f aca="false">E30-F30</f>
        <v>7200000</v>
      </c>
      <c r="H30" s="31"/>
      <c r="I30" s="4"/>
      <c r="J30" s="4"/>
      <c r="K30" s="4"/>
      <c r="L30" s="4"/>
      <c r="M30" s="4"/>
    </row>
    <row r="31" customFormat="false" ht="18" hidden="false" customHeight="true" outlineLevel="0" collapsed="false">
      <c r="A31" s="123" t="s">
        <v>320</v>
      </c>
      <c r="B31" s="104" t="s">
        <v>321</v>
      </c>
      <c r="C31" s="124" t="s">
        <v>311</v>
      </c>
      <c r="D31" s="77" t="n">
        <v>0</v>
      </c>
      <c r="E31" s="77" t="n">
        <f aca="false">SUMIFS(Pengeluaran!$J$6:$J$400,Pengeluaran!$E$6:$E$400,"Sosial &amp; Santunan")</f>
        <v>26950000</v>
      </c>
      <c r="F31" s="77" t="n">
        <v>0</v>
      </c>
      <c r="G31" s="125" t="n">
        <f aca="false">E31-F31</f>
        <v>26950000</v>
      </c>
      <c r="H31" s="31"/>
      <c r="I31" s="4"/>
      <c r="J31" s="4"/>
      <c r="K31" s="4"/>
      <c r="L31" s="4"/>
      <c r="M31" s="4"/>
    </row>
    <row r="32" customFormat="false" ht="18" hidden="false" customHeight="true" outlineLevel="0" collapsed="false">
      <c r="A32" s="126" t="s">
        <v>322</v>
      </c>
      <c r="B32" s="106" t="s">
        <v>323</v>
      </c>
      <c r="C32" s="127" t="s">
        <v>311</v>
      </c>
      <c r="D32" s="82" t="n">
        <v>0</v>
      </c>
      <c r="E32" s="82" t="n">
        <f aca="false">SUMIFS(Pengeluaran!$J$6:$J$400,Pengeluaran!$E$6:$E$400,"Ramadan")</f>
        <v>8850000</v>
      </c>
      <c r="F32" s="82" t="n">
        <v>0</v>
      </c>
      <c r="G32" s="128" t="n">
        <f aca="false">E32-F32</f>
        <v>8850000</v>
      </c>
      <c r="H32" s="31"/>
      <c r="I32" s="4"/>
      <c r="J32" s="4"/>
      <c r="K32" s="4"/>
      <c r="L32" s="4"/>
      <c r="M32" s="4"/>
    </row>
    <row r="33" customFormat="false" ht="18" hidden="false" customHeight="true" outlineLevel="0" collapsed="false">
      <c r="A33" s="123" t="s">
        <v>324</v>
      </c>
      <c r="B33" s="104" t="s">
        <v>325</v>
      </c>
      <c r="C33" s="124" t="s">
        <v>311</v>
      </c>
      <c r="D33" s="77" t="n">
        <v>0</v>
      </c>
      <c r="E33" s="77" t="n">
        <f aca="false">SUMIFS(Pengeluaran!$J$6:$J$400,Pengeluaran!$E$6:$E$400,"Kurban")</f>
        <v>0</v>
      </c>
      <c r="F33" s="77" t="n">
        <v>0</v>
      </c>
      <c r="G33" s="125" t="n">
        <f aca="false">E33-F33</f>
        <v>0</v>
      </c>
      <c r="H33" s="31"/>
      <c r="I33" s="4"/>
      <c r="J33" s="4"/>
      <c r="K33" s="4"/>
      <c r="L33" s="4"/>
      <c r="M33" s="4"/>
    </row>
    <row r="34" customFormat="false" ht="18" hidden="false" customHeight="true" outlineLevel="0" collapsed="false">
      <c r="A34" s="126" t="s">
        <v>326</v>
      </c>
      <c r="B34" s="106" t="s">
        <v>327</v>
      </c>
      <c r="C34" s="127" t="s">
        <v>311</v>
      </c>
      <c r="D34" s="82" t="n">
        <v>0</v>
      </c>
      <c r="E34" s="82" t="n">
        <f aca="false">SUMIFS(Pengeluaran!$J$6:$J$400,Pengeluaran!$E$6:$E$400,"Pembangunan")</f>
        <v>44300000</v>
      </c>
      <c r="F34" s="82" t="n">
        <v>0</v>
      </c>
      <c r="G34" s="128" t="n">
        <f aca="false">E34-F34</f>
        <v>44300000</v>
      </c>
      <c r="H34" s="31"/>
      <c r="I34" s="4"/>
      <c r="J34" s="4"/>
      <c r="K34" s="4"/>
      <c r="L34" s="4"/>
      <c r="M34" s="4"/>
    </row>
    <row r="35" customFormat="false" ht="18" hidden="false" customHeight="true" outlineLevel="0" collapsed="false">
      <c r="A35" s="123" t="s">
        <v>328</v>
      </c>
      <c r="B35" s="104" t="s">
        <v>329</v>
      </c>
      <c r="C35" s="124" t="s">
        <v>311</v>
      </c>
      <c r="D35" s="77" t="n">
        <v>0</v>
      </c>
      <c r="E35" s="77" t="n">
        <f aca="false">SUMIFS(Pengeluaran!$J$6:$J$400,Pengeluaran!$E$6:$E$400,"Pemeliharaan")</f>
        <v>1750000</v>
      </c>
      <c r="F35" s="77" t="n">
        <v>0</v>
      </c>
      <c r="G35" s="125" t="n">
        <f aca="false">E35-F35</f>
        <v>1750000</v>
      </c>
      <c r="H35" s="31"/>
      <c r="I35" s="4"/>
      <c r="J35" s="4"/>
      <c r="K35" s="4"/>
      <c r="L35" s="4"/>
      <c r="M35" s="4"/>
    </row>
    <row r="36" customFormat="false" ht="18" hidden="false" customHeight="true" outlineLevel="0" collapsed="false">
      <c r="A36" s="126" t="s">
        <v>330</v>
      </c>
      <c r="B36" s="106" t="s">
        <v>331</v>
      </c>
      <c r="C36" s="127" t="s">
        <v>311</v>
      </c>
      <c r="D36" s="82" t="n">
        <v>0</v>
      </c>
      <c r="E36" s="82" t="n">
        <f aca="false">SUMIFS(Pengeluaran!$J$6:$J$400,Pengeluaran!$E$6:$E$400,"Pembelian Aset")</f>
        <v>8500000</v>
      </c>
      <c r="F36" s="82" t="n">
        <v>0</v>
      </c>
      <c r="G36" s="128" t="n">
        <f aca="false">E36-F36</f>
        <v>8500000</v>
      </c>
      <c r="H36" s="31"/>
      <c r="I36" s="4"/>
      <c r="J36" s="4"/>
      <c r="K36" s="4"/>
      <c r="L36" s="4"/>
      <c r="M36" s="4"/>
    </row>
    <row r="37" customFormat="false" ht="18" hidden="false" customHeight="true" outlineLevel="0" collapsed="false">
      <c r="A37" s="123" t="s">
        <v>332</v>
      </c>
      <c r="B37" s="104" t="s">
        <v>333</v>
      </c>
      <c r="C37" s="124" t="s">
        <v>311</v>
      </c>
      <c r="D37" s="77" t="n">
        <v>0</v>
      </c>
      <c r="E37" s="77" t="n">
        <f aca="false">SUMIFS(Pengeluaran!$J$6:$J$400,Pengeluaran!$E$6:$E$400,"Administrasi &amp; Umum")</f>
        <v>650000</v>
      </c>
      <c r="F37" s="77" t="n">
        <v>0</v>
      </c>
      <c r="G37" s="125" t="n">
        <f aca="false">E37-F37</f>
        <v>650000</v>
      </c>
      <c r="H37" s="31"/>
      <c r="I37" s="4"/>
      <c r="J37" s="4"/>
      <c r="K37" s="4"/>
      <c r="L37" s="4"/>
      <c r="M37" s="4"/>
    </row>
    <row r="38" customFormat="false" ht="9.75" hidden="false" customHeight="true" outlineLevel="0" collapsed="false">
      <c r="A38" s="31"/>
      <c r="B38" s="31"/>
      <c r="C38" s="31"/>
      <c r="D38" s="31"/>
      <c r="E38" s="31"/>
      <c r="F38" s="31"/>
      <c r="G38" s="31"/>
      <c r="H38" s="31"/>
      <c r="I38" s="4"/>
      <c r="J38" s="4"/>
      <c r="K38" s="4"/>
      <c r="L38" s="4"/>
      <c r="M38" s="4"/>
    </row>
    <row r="39" customFormat="false" ht="14.25" hidden="false" customHeight="true" outlineLevel="0" collapsed="false">
      <c r="A39" s="27" t="s">
        <v>334</v>
      </c>
      <c r="B39" s="27"/>
      <c r="C39" s="27"/>
      <c r="D39" s="27"/>
      <c r="E39" s="27"/>
      <c r="F39" s="27"/>
      <c r="G39" s="27"/>
      <c r="H39" s="31"/>
      <c r="I39" s="4"/>
      <c r="J39" s="4"/>
      <c r="K39" s="4"/>
      <c r="L39" s="4"/>
      <c r="M39" s="4"/>
    </row>
    <row r="40" customFormat="false" ht="14.25" hidden="false" customHeight="false" outlineLevel="0" collapsed="false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customFormat="false" ht="14.25" hidden="false" customHeight="false" outlineLevel="0" collapsed="false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mergeCells count="4">
    <mergeCell ref="A1:E1"/>
    <mergeCell ref="F1:G1"/>
    <mergeCell ref="A2:G2"/>
    <mergeCell ref="A39:G39"/>
  </mergeCells>
  <conditionalFormatting sqref="C5:C37">
    <cfRule type="expression" priority="2" aboveAverage="0" equalAverage="0" bottom="0" percent="0" rank="0" text="" dxfId="0">
      <formula>$C5="Aset"</formula>
    </cfRule>
    <cfRule type="expression" priority="3" aboveAverage="0" equalAverage="0" bottom="0" percent="0" rank="0" text="" dxfId="10">
      <formula>$C5="Aset Neto"</formula>
    </cfRule>
    <cfRule type="expression" priority="4" aboveAverage="0" equalAverage="0" bottom="0" percent="0" rank="0" text="" dxfId="11">
      <formula>$C5="Pendapatan"</formula>
    </cfRule>
    <cfRule type="expression" priority="5" aboveAverage="0" equalAverage="0" bottom="0" percent="0" rank="0" text="" dxfId="2">
      <formula>$C5="Beban"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K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42"/>
    <col collapsed="false" customWidth="true" hidden="false" outlineLevel="0" max="3" min="3" style="0" width="3"/>
    <col collapsed="false" customWidth="true" hidden="false" outlineLevel="0" max="5" min="4" style="0" width="22"/>
    <col collapsed="false" customWidth="true" hidden="false" outlineLevel="0" max="6" min="6" style="0" width="2.2"/>
  </cols>
  <sheetData>
    <row r="1" customFormat="false" ht="33.75" hidden="false" customHeight="true" outlineLevel="0" collapsed="false">
      <c r="A1" s="2" t="s">
        <v>335</v>
      </c>
      <c r="B1" s="2"/>
      <c r="C1" s="2"/>
      <c r="D1" s="28" t="str">
        <f aca="false">HYPERLINK("#Beranda!A1","⌂  Beranda")</f>
        <v>⌂  Beranda</v>
      </c>
      <c r="E1" s="28"/>
      <c r="F1" s="4"/>
      <c r="G1" s="4"/>
      <c r="H1" s="4"/>
      <c r="I1" s="4"/>
      <c r="J1" s="4"/>
      <c r="K1" s="4"/>
    </row>
    <row r="2" customFormat="false" ht="15.75" hidden="false" customHeight="true" outlineLevel="0" collapsed="false">
      <c r="A2" s="5" t="s">
        <v>336</v>
      </c>
      <c r="B2" s="5"/>
      <c r="C2" s="5"/>
      <c r="D2" s="5"/>
      <c r="E2" s="5"/>
      <c r="F2" s="4"/>
      <c r="G2" s="4"/>
      <c r="H2" s="4"/>
      <c r="I2" s="4"/>
      <c r="J2" s="4"/>
      <c r="K2" s="4"/>
    </row>
    <row r="3" customFormat="false" ht="9.75" hidden="false" customHeight="true" outlineLevel="0" collapsed="false">
      <c r="A3" s="29"/>
      <c r="B3" s="29"/>
      <c r="C3" s="29"/>
      <c r="D3" s="29"/>
      <c r="E3" s="29"/>
      <c r="F3" s="31"/>
      <c r="G3" s="4"/>
      <c r="H3" s="4"/>
      <c r="I3" s="4"/>
      <c r="J3" s="4"/>
      <c r="K3" s="4"/>
    </row>
    <row r="4" customFormat="false" ht="25.5" hidden="false" customHeight="true" outlineLevel="0" collapsed="false">
      <c r="A4" s="44" t="s">
        <v>337</v>
      </c>
      <c r="B4" s="44" t="s">
        <v>261</v>
      </c>
      <c r="C4" s="56"/>
      <c r="D4" s="56" t="s">
        <v>338</v>
      </c>
      <c r="E4" s="56" t="s">
        <v>339</v>
      </c>
      <c r="F4" s="31"/>
      <c r="G4" s="4"/>
      <c r="H4" s="4"/>
      <c r="I4" s="4"/>
      <c r="J4" s="4"/>
      <c r="K4" s="4"/>
    </row>
    <row r="5" customFormat="false" ht="18" hidden="false" customHeight="true" outlineLevel="0" collapsed="false">
      <c r="A5" s="123" t="s">
        <v>265</v>
      </c>
      <c r="B5" s="104" t="s">
        <v>266</v>
      </c>
      <c r="C5" s="104"/>
      <c r="D5" s="77" t="n">
        <f aca="false">'Buku Besar'!G5</f>
        <v>86190000</v>
      </c>
      <c r="E5" s="103" t="n">
        <v>0</v>
      </c>
      <c r="F5" s="31"/>
      <c r="G5" s="4"/>
      <c r="H5" s="4"/>
      <c r="I5" s="4"/>
      <c r="J5" s="4"/>
      <c r="K5" s="4"/>
    </row>
    <row r="6" customFormat="false" ht="18" hidden="false" customHeight="true" outlineLevel="0" collapsed="false">
      <c r="A6" s="126" t="s">
        <v>268</v>
      </c>
      <c r="B6" s="106" t="s">
        <v>131</v>
      </c>
      <c r="C6" s="104"/>
      <c r="D6" s="82" t="n">
        <f aca="false">'Buku Besar'!G6</f>
        <v>122625000</v>
      </c>
      <c r="E6" s="105" t="n">
        <v>0</v>
      </c>
      <c r="F6" s="31"/>
      <c r="G6" s="4"/>
      <c r="H6" s="4"/>
      <c r="I6" s="4"/>
      <c r="J6" s="4"/>
      <c r="K6" s="4"/>
    </row>
    <row r="7" customFormat="false" ht="18" hidden="false" customHeight="true" outlineLevel="0" collapsed="false">
      <c r="A7" s="123" t="s">
        <v>269</v>
      </c>
      <c r="B7" s="104" t="s">
        <v>340</v>
      </c>
      <c r="C7" s="104"/>
      <c r="D7" s="77" t="n">
        <v>0</v>
      </c>
      <c r="E7" s="103" t="n">
        <f aca="false">Master!$B$27</f>
        <v>100000000</v>
      </c>
      <c r="F7" s="31"/>
      <c r="G7" s="4"/>
      <c r="H7" s="4"/>
      <c r="I7" s="4"/>
      <c r="J7" s="4"/>
      <c r="K7" s="4"/>
    </row>
    <row r="8" customFormat="false" ht="18" hidden="false" customHeight="true" outlineLevel="0" collapsed="false">
      <c r="A8" s="126" t="s">
        <v>284</v>
      </c>
      <c r="B8" s="106" t="s">
        <v>285</v>
      </c>
      <c r="C8" s="104"/>
      <c r="D8" s="82" t="n">
        <v>0</v>
      </c>
      <c r="E8" s="105" t="n">
        <f aca="false">SUMIFS(Penerimaan!$J$6:$J$400,Penerimaan!$E$6:$E$400,"Infak Jumat")</f>
        <v>90340000</v>
      </c>
      <c r="F8" s="31"/>
      <c r="G8" s="4"/>
      <c r="H8" s="4"/>
      <c r="I8" s="4"/>
      <c r="J8" s="4"/>
      <c r="K8" s="4"/>
    </row>
    <row r="9" customFormat="false" ht="18" hidden="false" customHeight="true" outlineLevel="0" collapsed="false">
      <c r="A9" s="123" t="s">
        <v>287</v>
      </c>
      <c r="B9" s="104" t="s">
        <v>288</v>
      </c>
      <c r="C9" s="104"/>
      <c r="D9" s="77" t="n">
        <v>0</v>
      </c>
      <c r="E9" s="103" t="n">
        <f aca="false">SUMIFS(Penerimaan!$J$6:$J$400,Penerimaan!$E$6:$E$400,"Infak Harian")</f>
        <v>12910000</v>
      </c>
      <c r="F9" s="31"/>
      <c r="G9" s="4"/>
      <c r="H9" s="4"/>
      <c r="I9" s="4"/>
      <c r="J9" s="4"/>
      <c r="K9" s="4"/>
    </row>
    <row r="10" customFormat="false" ht="18" hidden="false" customHeight="true" outlineLevel="0" collapsed="false">
      <c r="A10" s="126" t="s">
        <v>289</v>
      </c>
      <c r="B10" s="106" t="s">
        <v>290</v>
      </c>
      <c r="C10" s="104"/>
      <c r="D10" s="82" t="n">
        <v>0</v>
      </c>
      <c r="E10" s="105" t="n">
        <f aca="false">SUMIFS(Penerimaan!$J$6:$J$400,Penerimaan!$E$6:$E$400,"Kotak Amal")</f>
        <v>8790000</v>
      </c>
      <c r="F10" s="31"/>
      <c r="G10" s="4"/>
      <c r="H10" s="4"/>
      <c r="I10" s="4"/>
      <c r="J10" s="4"/>
      <c r="K10" s="4"/>
    </row>
    <row r="11" customFormat="false" ht="18" hidden="false" customHeight="true" outlineLevel="0" collapsed="false">
      <c r="A11" s="123" t="s">
        <v>291</v>
      </c>
      <c r="B11" s="104" t="s">
        <v>292</v>
      </c>
      <c r="C11" s="104"/>
      <c r="D11" s="77" t="n">
        <v>0</v>
      </c>
      <c r="E11" s="103" t="n">
        <f aca="false">SUMIFS(Penerimaan!$J$6:$J$400,Penerimaan!$E$6:$E$400,"Zakat Fitrah")</f>
        <v>17150000</v>
      </c>
      <c r="F11" s="31"/>
      <c r="G11" s="4"/>
      <c r="H11" s="4"/>
      <c r="I11" s="4"/>
      <c r="J11" s="4"/>
      <c r="K11" s="4"/>
    </row>
    <row r="12" customFormat="false" ht="18" hidden="false" customHeight="true" outlineLevel="0" collapsed="false">
      <c r="A12" s="126" t="s">
        <v>293</v>
      </c>
      <c r="B12" s="106" t="s">
        <v>294</v>
      </c>
      <c r="C12" s="104"/>
      <c r="D12" s="82" t="n">
        <v>0</v>
      </c>
      <c r="E12" s="105" t="n">
        <f aca="false">SUMIFS(Penerimaan!$J$6:$J$400,Penerimaan!$E$6:$E$400,"Zakat Maal")</f>
        <v>6250000</v>
      </c>
      <c r="F12" s="31"/>
      <c r="G12" s="4"/>
      <c r="H12" s="4"/>
      <c r="I12" s="4"/>
      <c r="J12" s="4"/>
      <c r="K12" s="4"/>
    </row>
    <row r="13" customFormat="false" ht="18" hidden="false" customHeight="true" outlineLevel="0" collapsed="false">
      <c r="A13" s="123" t="s">
        <v>295</v>
      </c>
      <c r="B13" s="104" t="s">
        <v>296</v>
      </c>
      <c r="C13" s="104"/>
      <c r="D13" s="77" t="n">
        <v>0</v>
      </c>
      <c r="E13" s="103" t="n">
        <f aca="false">SUMIFS(Penerimaan!$J$6:$J$400,Penerimaan!$E$6:$E$400,"Wakaf Tunai")</f>
        <v>20000000</v>
      </c>
      <c r="F13" s="31"/>
      <c r="G13" s="4"/>
      <c r="H13" s="4"/>
      <c r="I13" s="4"/>
      <c r="J13" s="4"/>
      <c r="K13" s="4"/>
    </row>
    <row r="14" customFormat="false" ht="18" hidden="false" customHeight="true" outlineLevel="0" collapsed="false">
      <c r="A14" s="126" t="s">
        <v>297</v>
      </c>
      <c r="B14" s="106" t="s">
        <v>298</v>
      </c>
      <c r="C14" s="104"/>
      <c r="D14" s="82" t="n">
        <v>0</v>
      </c>
      <c r="E14" s="105" t="n">
        <f aca="false">SUMIFS(Penerimaan!$J$6:$J$400,Penerimaan!$E$6:$E$400,"Hibah")</f>
        <v>10000000</v>
      </c>
      <c r="F14" s="31"/>
      <c r="G14" s="4"/>
      <c r="H14" s="4"/>
      <c r="I14" s="4"/>
      <c r="J14" s="4"/>
      <c r="K14" s="4"/>
    </row>
    <row r="15" customFormat="false" ht="18" hidden="false" customHeight="true" outlineLevel="0" collapsed="false">
      <c r="A15" s="123" t="s">
        <v>299</v>
      </c>
      <c r="B15" s="104" t="s">
        <v>300</v>
      </c>
      <c r="C15" s="104"/>
      <c r="D15" s="77" t="n">
        <v>0</v>
      </c>
      <c r="E15" s="103" t="n">
        <f aca="false">SUMIFS(Penerimaan!$J$6:$J$400,Penerimaan!$E$6:$E$400,"Donasi Online")</f>
        <v>43260000</v>
      </c>
      <c r="F15" s="31"/>
      <c r="G15" s="4"/>
      <c r="H15" s="4"/>
      <c r="I15" s="4"/>
      <c r="J15" s="4"/>
      <c r="K15" s="4"/>
    </row>
    <row r="16" customFormat="false" ht="18" hidden="false" customHeight="true" outlineLevel="0" collapsed="false">
      <c r="A16" s="126" t="s">
        <v>301</v>
      </c>
      <c r="B16" s="106" t="s">
        <v>302</v>
      </c>
      <c r="C16" s="104"/>
      <c r="D16" s="82" t="n">
        <v>0</v>
      </c>
      <c r="E16" s="105" t="n">
        <f aca="false">SUMIFS(Penerimaan!$J$6:$J$400,Penerimaan!$E$6:$E$400,"Pendapatan Sewa")</f>
        <v>9000000</v>
      </c>
      <c r="F16" s="31"/>
      <c r="G16" s="4"/>
      <c r="H16" s="4"/>
      <c r="I16" s="4"/>
      <c r="J16" s="4"/>
      <c r="K16" s="4"/>
    </row>
    <row r="17" customFormat="false" ht="18" hidden="false" customHeight="true" outlineLevel="0" collapsed="false">
      <c r="A17" s="123" t="s">
        <v>303</v>
      </c>
      <c r="B17" s="104" t="s">
        <v>304</v>
      </c>
      <c r="C17" s="104"/>
      <c r="D17" s="77" t="n">
        <v>0</v>
      </c>
      <c r="E17" s="103" t="n">
        <f aca="false">SUMIFS(Penerimaan!$J$6:$J$400,Penerimaan!$E$6:$E$400,"Pendapatan Usaha")</f>
        <v>1850000</v>
      </c>
      <c r="F17" s="31"/>
      <c r="G17" s="4"/>
      <c r="H17" s="4"/>
      <c r="I17" s="4"/>
      <c r="J17" s="4"/>
      <c r="K17" s="4"/>
    </row>
    <row r="18" customFormat="false" ht="18" hidden="false" customHeight="true" outlineLevel="0" collapsed="false">
      <c r="A18" s="126" t="s">
        <v>305</v>
      </c>
      <c r="B18" s="106" t="s">
        <v>306</v>
      </c>
      <c r="C18" s="104"/>
      <c r="D18" s="82" t="n">
        <v>0</v>
      </c>
      <c r="E18" s="105" t="n">
        <f aca="false">SUMIFS(Penerimaan!$J$6:$J$400,Penerimaan!$E$6:$E$400,"Kurban")</f>
        <v>24500000</v>
      </c>
      <c r="F18" s="31"/>
      <c r="G18" s="4"/>
      <c r="H18" s="4"/>
      <c r="I18" s="4"/>
      <c r="J18" s="4"/>
      <c r="K18" s="4"/>
    </row>
    <row r="19" customFormat="false" ht="18" hidden="false" customHeight="true" outlineLevel="0" collapsed="false">
      <c r="A19" s="123" t="s">
        <v>307</v>
      </c>
      <c r="B19" s="104" t="s">
        <v>308</v>
      </c>
      <c r="C19" s="104"/>
      <c r="D19" s="77" t="n">
        <v>0</v>
      </c>
      <c r="E19" s="103" t="n">
        <f aca="false">SUMIFS(Penerimaan!$J$6:$J$400,Penerimaan!$E$6:$E$400,"Lainnya")</f>
        <v>0</v>
      </c>
      <c r="F19" s="31"/>
      <c r="G19" s="4"/>
      <c r="H19" s="4"/>
      <c r="I19" s="4"/>
      <c r="J19" s="4"/>
      <c r="K19" s="4"/>
    </row>
    <row r="20" customFormat="false" ht="18" hidden="false" customHeight="true" outlineLevel="0" collapsed="false">
      <c r="A20" s="126" t="s">
        <v>309</v>
      </c>
      <c r="B20" s="106" t="s">
        <v>310</v>
      </c>
      <c r="C20" s="104"/>
      <c r="D20" s="82" t="n">
        <f aca="false">SUMIFS(Pengeluaran!$J$6:$J$400,Pengeluaran!$E$6:$E$400,"Listrik &amp; Air")</f>
        <v>8235000</v>
      </c>
      <c r="E20" s="105" t="n">
        <v>0</v>
      </c>
      <c r="F20" s="31"/>
      <c r="G20" s="4"/>
      <c r="H20" s="4"/>
      <c r="I20" s="4"/>
      <c r="J20" s="4"/>
      <c r="K20" s="4"/>
    </row>
    <row r="21" customFormat="false" ht="18" hidden="false" customHeight="true" outlineLevel="0" collapsed="false">
      <c r="A21" s="123" t="s">
        <v>312</v>
      </c>
      <c r="B21" s="104" t="s">
        <v>313</v>
      </c>
      <c r="C21" s="104"/>
      <c r="D21" s="77" t="n">
        <f aca="false">SUMIFS(Pengeluaran!$J$6:$J$400,Pengeluaran!$E$6:$E$400,"Kebersihan &amp; Keamanan")</f>
        <v>2700000</v>
      </c>
      <c r="E21" s="103" t="n">
        <v>0</v>
      </c>
      <c r="F21" s="31"/>
      <c r="G21" s="4"/>
      <c r="H21" s="4"/>
      <c r="I21" s="4"/>
      <c r="J21" s="4"/>
      <c r="K21" s="4"/>
    </row>
    <row r="22" customFormat="false" ht="18" hidden="false" customHeight="true" outlineLevel="0" collapsed="false">
      <c r="A22" s="126" t="s">
        <v>314</v>
      </c>
      <c r="B22" s="106" t="s">
        <v>315</v>
      </c>
      <c r="C22" s="104"/>
      <c r="D22" s="82" t="n">
        <f aca="false">SUMIFS(Pengeluaran!$J$6:$J$400,Pengeluaran!$E$6:$E$400,"Honorarium")</f>
        <v>21000000</v>
      </c>
      <c r="E22" s="105" t="n">
        <v>0</v>
      </c>
      <c r="F22" s="31"/>
      <c r="G22" s="4"/>
      <c r="H22" s="4"/>
      <c r="I22" s="4"/>
      <c r="J22" s="4"/>
      <c r="K22" s="4"/>
    </row>
    <row r="23" customFormat="false" ht="18" hidden="false" customHeight="true" outlineLevel="0" collapsed="false">
      <c r="A23" s="123" t="s">
        <v>316</v>
      </c>
      <c r="B23" s="104" t="s">
        <v>317</v>
      </c>
      <c r="C23" s="104"/>
      <c r="D23" s="77" t="n">
        <f aca="false">SUMIFS(Pengeluaran!$J$6:$J$400,Pengeluaran!$E$6:$E$400,"Kegiatan Dakwah")</f>
        <v>5100000</v>
      </c>
      <c r="E23" s="103" t="n">
        <v>0</v>
      </c>
      <c r="F23" s="31"/>
      <c r="G23" s="4"/>
      <c r="H23" s="4"/>
      <c r="I23" s="4"/>
      <c r="J23" s="4"/>
      <c r="K23" s="4"/>
    </row>
    <row r="24" customFormat="false" ht="18" hidden="false" customHeight="true" outlineLevel="0" collapsed="false">
      <c r="A24" s="126" t="s">
        <v>318</v>
      </c>
      <c r="B24" s="106" t="s">
        <v>319</v>
      </c>
      <c r="C24" s="104"/>
      <c r="D24" s="82" t="n">
        <f aca="false">SUMIFS(Pengeluaran!$J$6:$J$400,Pengeluaran!$E$6:$E$400,"Pendidikan (TPA)")</f>
        <v>7200000</v>
      </c>
      <c r="E24" s="105" t="n">
        <v>0</v>
      </c>
      <c r="F24" s="31"/>
      <c r="G24" s="4"/>
      <c r="H24" s="4"/>
      <c r="I24" s="4"/>
      <c r="J24" s="4"/>
      <c r="K24" s="4"/>
    </row>
    <row r="25" customFormat="false" ht="18" hidden="false" customHeight="true" outlineLevel="0" collapsed="false">
      <c r="A25" s="123" t="s">
        <v>320</v>
      </c>
      <c r="B25" s="104" t="s">
        <v>321</v>
      </c>
      <c r="C25" s="104"/>
      <c r="D25" s="77" t="n">
        <f aca="false">SUMIFS(Pengeluaran!$J$6:$J$400,Pengeluaran!$E$6:$E$400,"Sosial &amp; Santunan")</f>
        <v>26950000</v>
      </c>
      <c r="E25" s="103" t="n">
        <v>0</v>
      </c>
      <c r="F25" s="31"/>
      <c r="G25" s="4"/>
      <c r="H25" s="4"/>
      <c r="I25" s="4"/>
      <c r="J25" s="4"/>
      <c r="K25" s="4"/>
    </row>
    <row r="26" customFormat="false" ht="18" hidden="false" customHeight="true" outlineLevel="0" collapsed="false">
      <c r="A26" s="126" t="s">
        <v>322</v>
      </c>
      <c r="B26" s="106" t="s">
        <v>323</v>
      </c>
      <c r="C26" s="104"/>
      <c r="D26" s="82" t="n">
        <f aca="false">SUMIFS(Pengeluaran!$J$6:$J$400,Pengeluaran!$E$6:$E$400,"Ramadan")</f>
        <v>8850000</v>
      </c>
      <c r="E26" s="105" t="n">
        <v>0</v>
      </c>
      <c r="F26" s="31"/>
      <c r="G26" s="4"/>
      <c r="H26" s="4"/>
      <c r="I26" s="4"/>
      <c r="J26" s="4"/>
      <c r="K26" s="4"/>
    </row>
    <row r="27" customFormat="false" ht="18" hidden="false" customHeight="true" outlineLevel="0" collapsed="false">
      <c r="A27" s="123" t="s">
        <v>324</v>
      </c>
      <c r="B27" s="104" t="s">
        <v>325</v>
      </c>
      <c r="C27" s="104"/>
      <c r="D27" s="77" t="n">
        <f aca="false">SUMIFS(Pengeluaran!$J$6:$J$400,Pengeluaran!$E$6:$E$400,"Kurban")</f>
        <v>0</v>
      </c>
      <c r="E27" s="103" t="n">
        <v>0</v>
      </c>
      <c r="F27" s="31"/>
      <c r="G27" s="4"/>
      <c r="H27" s="4"/>
      <c r="I27" s="4"/>
      <c r="J27" s="4"/>
      <c r="K27" s="4"/>
    </row>
    <row r="28" customFormat="false" ht="18" hidden="false" customHeight="true" outlineLevel="0" collapsed="false">
      <c r="A28" s="126" t="s">
        <v>326</v>
      </c>
      <c r="B28" s="106" t="s">
        <v>327</v>
      </c>
      <c r="C28" s="104"/>
      <c r="D28" s="82" t="n">
        <f aca="false">SUMIFS(Pengeluaran!$J$6:$J$400,Pengeluaran!$E$6:$E$400,"Pembangunan")</f>
        <v>44300000</v>
      </c>
      <c r="E28" s="105" t="n">
        <v>0</v>
      </c>
      <c r="F28" s="31"/>
      <c r="G28" s="4"/>
      <c r="H28" s="4"/>
      <c r="I28" s="4"/>
      <c r="J28" s="4"/>
      <c r="K28" s="4"/>
    </row>
    <row r="29" customFormat="false" ht="18" hidden="false" customHeight="true" outlineLevel="0" collapsed="false">
      <c r="A29" s="123" t="s">
        <v>328</v>
      </c>
      <c r="B29" s="104" t="s">
        <v>329</v>
      </c>
      <c r="C29" s="104"/>
      <c r="D29" s="77" t="n">
        <f aca="false">SUMIFS(Pengeluaran!$J$6:$J$400,Pengeluaran!$E$6:$E$400,"Pemeliharaan")</f>
        <v>1750000</v>
      </c>
      <c r="E29" s="103" t="n">
        <v>0</v>
      </c>
      <c r="F29" s="31"/>
      <c r="G29" s="4"/>
      <c r="H29" s="4"/>
      <c r="I29" s="4"/>
      <c r="J29" s="4"/>
      <c r="K29" s="4"/>
    </row>
    <row r="30" customFormat="false" ht="18" hidden="false" customHeight="true" outlineLevel="0" collapsed="false">
      <c r="A30" s="126" t="s">
        <v>330</v>
      </c>
      <c r="B30" s="106" t="s">
        <v>331</v>
      </c>
      <c r="C30" s="104"/>
      <c r="D30" s="82" t="n">
        <f aca="false">SUMIFS(Pengeluaran!$J$6:$J$400,Pengeluaran!$E$6:$E$400,"Pembelian Aset")</f>
        <v>8500000</v>
      </c>
      <c r="E30" s="105" t="n">
        <v>0</v>
      </c>
      <c r="F30" s="31"/>
      <c r="G30" s="4"/>
      <c r="H30" s="4"/>
      <c r="I30" s="4"/>
      <c r="J30" s="4"/>
      <c r="K30" s="4"/>
    </row>
    <row r="31" customFormat="false" ht="18" hidden="false" customHeight="true" outlineLevel="0" collapsed="false">
      <c r="A31" s="123" t="s">
        <v>332</v>
      </c>
      <c r="B31" s="104" t="s">
        <v>333</v>
      </c>
      <c r="C31" s="104"/>
      <c r="D31" s="77" t="n">
        <f aca="false">SUMIFS(Pengeluaran!$J$6:$J$400,Pengeluaran!$E$6:$E$400,"Administrasi &amp; Umum")</f>
        <v>650000</v>
      </c>
      <c r="E31" s="103" t="n">
        <v>0</v>
      </c>
      <c r="F31" s="31"/>
      <c r="G31" s="4"/>
      <c r="H31" s="4"/>
      <c r="I31" s="4"/>
      <c r="J31" s="4"/>
      <c r="K31" s="4"/>
    </row>
    <row r="32" customFormat="false" ht="21.75" hidden="false" customHeight="true" outlineLevel="0" collapsed="false">
      <c r="A32" s="85"/>
      <c r="B32" s="100" t="s">
        <v>184</v>
      </c>
      <c r="C32" s="101"/>
      <c r="D32" s="129" t="n">
        <f aca="false">SUM(D5:D31)</f>
        <v>344050000</v>
      </c>
      <c r="E32" s="130" t="n">
        <f aca="false">SUM(E5:E31)</f>
        <v>344050000</v>
      </c>
      <c r="F32" s="31"/>
      <c r="G32" s="4"/>
      <c r="H32" s="4"/>
      <c r="I32" s="4"/>
      <c r="J32" s="4"/>
      <c r="K32" s="4"/>
    </row>
    <row r="33" customFormat="false" ht="25.5" hidden="false" customHeight="true" outlineLevel="0" collapsed="false">
      <c r="A33" s="114"/>
      <c r="B33" s="114" t="s">
        <v>117</v>
      </c>
      <c r="C33" s="114"/>
      <c r="D33" s="52" t="str">
        <f aca="false">IF(D32=E32,"✔ SEIMBANG","⚠ TIDAK SEIMBANG")</f>
        <v>✔ SEIMBANG</v>
      </c>
      <c r="E33" s="52"/>
      <c r="F33" s="31"/>
      <c r="G33" s="4"/>
      <c r="H33" s="4"/>
      <c r="I33" s="4"/>
      <c r="J33" s="4"/>
      <c r="K33" s="4"/>
    </row>
    <row r="34" customFormat="false" ht="9.75" hidden="false" customHeight="true" outlineLevel="0" collapsed="false">
      <c r="A34" s="31"/>
      <c r="B34" s="31"/>
      <c r="C34" s="31"/>
      <c r="D34" s="31"/>
      <c r="E34" s="31"/>
      <c r="F34" s="31"/>
      <c r="G34" s="4"/>
      <c r="H34" s="4"/>
      <c r="I34" s="4"/>
      <c r="J34" s="4"/>
      <c r="K34" s="4"/>
    </row>
    <row r="35" customFormat="false" ht="14.25" hidden="false" customHeight="false" outlineLevel="0" collapsed="false">
      <c r="A35" s="31"/>
      <c r="B35" s="31"/>
      <c r="C35" s="31"/>
      <c r="D35" s="31"/>
      <c r="E35" s="31"/>
      <c r="F35" s="31"/>
      <c r="G35" s="4"/>
      <c r="H35" s="4"/>
      <c r="I35" s="4"/>
      <c r="J35" s="4"/>
      <c r="K35" s="4"/>
    </row>
    <row r="36" customFormat="false" ht="14.25" hidden="false" customHeight="fals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customFormat="false" ht="14.25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mergeCells count="4">
    <mergeCell ref="A1:C1"/>
    <mergeCell ref="D1:E1"/>
    <mergeCell ref="A2:E2"/>
    <mergeCell ref="D33:E33"/>
  </mergeCells>
  <conditionalFormatting sqref="D33:E33">
    <cfRule type="expression" priority="2" aboveAverage="0" equalAverage="0" bottom="0" percent="0" rank="0" text="" dxfId="0">
      <formula>LEFT($D$33,1)="✔"</formula>
    </cfRule>
    <cfRule type="expression" priority="3" aboveAverage="0" equalAverage="0" bottom="0" percent="0" rank="0" text="" dxfId="1">
      <formula>LEFT($D$33,1)="●"</formula>
    </cfRule>
    <cfRule type="expression" priority="4" aboveAverage="0" equalAverage="0" bottom="0" percent="0" rank="0" text="" dxfId="1">
      <formula>LEFT($D$33,1)="○"</formula>
    </cfRule>
    <cfRule type="expression" priority="5" aboveAverage="0" equalAverage="0" bottom="0" percent="0" rank="0" text="" dxfId="2">
      <formula>LEFT($D$33,1)="⚠"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J20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3" min="3" style="0" width="24"/>
    <col collapsed="false" customWidth="true" hidden="false" outlineLevel="0" max="4" min="4" style="0" width="3"/>
  </cols>
  <sheetData>
    <row r="1" customFormat="false" ht="33.75" hidden="false" customHeight="true" outlineLevel="0" collapsed="false">
      <c r="A1" s="2" t="s">
        <v>341</v>
      </c>
      <c r="B1" s="2"/>
      <c r="C1" s="2"/>
      <c r="D1" s="2"/>
      <c r="E1" s="4"/>
      <c r="F1" s="4"/>
      <c r="G1" s="4"/>
      <c r="H1" s="4"/>
      <c r="I1" s="4"/>
      <c r="J1" s="4"/>
    </row>
    <row r="2" customFormat="false" ht="15.75" hidden="false" customHeight="true" outlineLevel="0" collapsed="false">
      <c r="A2" s="5" t="s">
        <v>342</v>
      </c>
      <c r="B2" s="5"/>
      <c r="C2" s="5"/>
      <c r="D2" s="5"/>
      <c r="E2" s="4"/>
      <c r="F2" s="4"/>
      <c r="G2" s="4"/>
      <c r="H2" s="4"/>
      <c r="I2" s="4"/>
      <c r="J2" s="4"/>
    </row>
    <row r="3" customFormat="false" ht="12" hidden="false" customHeight="true" outlineLevel="0" collapsed="false">
      <c r="A3" s="29"/>
      <c r="B3" s="29"/>
      <c r="C3" s="29"/>
      <c r="D3" s="29"/>
      <c r="E3" s="4"/>
      <c r="F3" s="4"/>
      <c r="G3" s="4"/>
      <c r="H3" s="4"/>
      <c r="I3" s="4"/>
      <c r="J3" s="4"/>
    </row>
    <row r="4" customFormat="false" ht="24" hidden="false" customHeight="true" outlineLevel="0" collapsed="false">
      <c r="A4" s="31"/>
      <c r="B4" s="131" t="s">
        <v>343</v>
      </c>
      <c r="C4" s="131"/>
      <c r="D4" s="31"/>
      <c r="E4" s="4"/>
      <c r="F4" s="4"/>
      <c r="G4" s="4"/>
      <c r="H4" s="4"/>
      <c r="I4" s="4"/>
      <c r="J4" s="4"/>
    </row>
    <row r="5" customFormat="false" ht="19.5" hidden="false" customHeight="true" outlineLevel="0" collapsed="false">
      <c r="A5" s="31"/>
      <c r="B5" s="45" t="s">
        <v>344</v>
      </c>
      <c r="C5" s="132" t="n">
        <f aca="false">Dashboard!$H$5</f>
        <v>86190000</v>
      </c>
      <c r="D5" s="31"/>
      <c r="E5" s="4"/>
      <c r="F5" s="4"/>
      <c r="G5" s="4"/>
      <c r="H5" s="4"/>
      <c r="I5" s="4"/>
      <c r="J5" s="4"/>
    </row>
    <row r="6" customFormat="false" ht="19.5" hidden="false" customHeight="true" outlineLevel="0" collapsed="false">
      <c r="A6" s="31"/>
      <c r="B6" s="47" t="s">
        <v>345</v>
      </c>
      <c r="C6" s="133" t="n">
        <f aca="false">Dashboard!$J$5</f>
        <v>122625000</v>
      </c>
      <c r="D6" s="31"/>
      <c r="E6" s="4"/>
      <c r="F6" s="4"/>
      <c r="G6" s="4"/>
      <c r="H6" s="4"/>
      <c r="I6" s="4"/>
      <c r="J6" s="4"/>
    </row>
    <row r="7" customFormat="false" ht="21.75" hidden="false" customHeight="true" outlineLevel="0" collapsed="false">
      <c r="A7" s="31"/>
      <c r="B7" s="49" t="s">
        <v>346</v>
      </c>
      <c r="C7" s="50" t="n">
        <f aca="false">SUM(C5:C6)</f>
        <v>208815000</v>
      </c>
      <c r="D7" s="31"/>
      <c r="E7" s="4"/>
      <c r="F7" s="4"/>
      <c r="G7" s="4"/>
      <c r="H7" s="4"/>
      <c r="I7" s="4"/>
      <c r="J7" s="4"/>
    </row>
    <row r="8" customFormat="false" ht="9.75" hidden="false" customHeight="true" outlineLevel="0" collapsed="false">
      <c r="A8" s="31"/>
      <c r="B8" s="31"/>
      <c r="C8" s="31"/>
      <c r="D8" s="31"/>
      <c r="E8" s="4"/>
      <c r="F8" s="4"/>
      <c r="G8" s="4"/>
      <c r="H8" s="4"/>
      <c r="I8" s="4"/>
      <c r="J8" s="4"/>
    </row>
    <row r="9" customFormat="false" ht="24" hidden="false" customHeight="true" outlineLevel="0" collapsed="false">
      <c r="A9" s="31"/>
      <c r="B9" s="131" t="s">
        <v>347</v>
      </c>
      <c r="C9" s="131"/>
      <c r="D9" s="31"/>
      <c r="E9" s="4"/>
      <c r="F9" s="4"/>
      <c r="G9" s="4"/>
      <c r="H9" s="4"/>
      <c r="I9" s="4"/>
      <c r="J9" s="4"/>
    </row>
    <row r="10" customFormat="false" ht="19.5" hidden="false" customHeight="true" outlineLevel="0" collapsed="false">
      <c r="A10" s="31"/>
      <c r="B10" s="45" t="s">
        <v>348</v>
      </c>
      <c r="C10" s="132" t="n">
        <f aca="false">SUMIF(Master!$B$5:$B$11,"Tanpa Pembatasan",Dashboard!$F$10:$F$16)</f>
        <v>135915000</v>
      </c>
      <c r="D10" s="31"/>
      <c r="E10" s="4"/>
      <c r="F10" s="4"/>
      <c r="G10" s="4"/>
      <c r="H10" s="4"/>
      <c r="I10" s="4"/>
      <c r="J10" s="4"/>
    </row>
    <row r="11" customFormat="false" ht="19.5" hidden="false" customHeight="true" outlineLevel="0" collapsed="false">
      <c r="A11" s="31"/>
      <c r="B11" s="47" t="s">
        <v>349</v>
      </c>
      <c r="C11" s="133" t="n">
        <f aca="false">SUMIF(Master!$B$5:$B$11,"Dengan Pembatasan",Dashboard!$F$10:$F$16)</f>
        <v>72900000</v>
      </c>
      <c r="D11" s="31"/>
      <c r="E11" s="4"/>
      <c r="F11" s="4"/>
      <c r="G11" s="4"/>
      <c r="H11" s="4"/>
      <c r="I11" s="4"/>
      <c r="J11" s="4"/>
    </row>
    <row r="12" customFormat="false" ht="21.75" hidden="false" customHeight="true" outlineLevel="0" collapsed="false">
      <c r="A12" s="31"/>
      <c r="B12" s="49" t="s">
        <v>350</v>
      </c>
      <c r="C12" s="50" t="n">
        <f aca="false">SUM(C10:C11)</f>
        <v>208815000</v>
      </c>
      <c r="D12" s="31"/>
      <c r="E12" s="4"/>
      <c r="F12" s="4"/>
      <c r="G12" s="4"/>
      <c r="H12" s="4"/>
      <c r="I12" s="4"/>
      <c r="J12" s="4"/>
    </row>
    <row r="13" customFormat="false" ht="9.75" hidden="false" customHeight="true" outlineLevel="0" collapsed="false">
      <c r="A13" s="31"/>
      <c r="B13" s="31"/>
      <c r="C13" s="31"/>
      <c r="D13" s="31"/>
      <c r="E13" s="4"/>
      <c r="F13" s="4"/>
      <c r="G13" s="4"/>
      <c r="H13" s="4"/>
      <c r="I13" s="4"/>
      <c r="J13" s="4"/>
    </row>
    <row r="14" customFormat="false" ht="25.5" hidden="false" customHeight="true" outlineLevel="0" collapsed="false">
      <c r="A14" s="31"/>
      <c r="B14" s="114" t="s">
        <v>351</v>
      </c>
      <c r="C14" s="52" t="str">
        <f aca="false">IF(C7=C12,"✔ Seimbang","⚠ Periksa")</f>
        <v>✔ Seimbang</v>
      </c>
      <c r="D14" s="31"/>
      <c r="E14" s="4"/>
      <c r="F14" s="4"/>
      <c r="G14" s="4"/>
      <c r="H14" s="4"/>
      <c r="I14" s="4"/>
      <c r="J14" s="4"/>
    </row>
    <row r="15" customFormat="false" ht="9.75" hidden="false" customHeight="true" outlineLevel="0" collapsed="false">
      <c r="A15" s="31"/>
      <c r="B15" s="31"/>
      <c r="C15" s="31"/>
      <c r="D15" s="31"/>
      <c r="E15" s="4"/>
      <c r="F15" s="4"/>
      <c r="G15" s="4"/>
      <c r="H15" s="4"/>
      <c r="I15" s="4"/>
      <c r="J15" s="4"/>
    </row>
    <row r="16" customFormat="false" ht="30" hidden="false" customHeight="true" outlineLevel="0" collapsed="false">
      <c r="A16" s="31"/>
      <c r="B16" s="27" t="s">
        <v>352</v>
      </c>
      <c r="C16" s="27"/>
      <c r="D16" s="31"/>
      <c r="E16" s="4"/>
      <c r="F16" s="4"/>
      <c r="G16" s="4"/>
      <c r="H16" s="4"/>
      <c r="I16" s="4"/>
      <c r="J16" s="4"/>
    </row>
    <row r="17" customFormat="false" ht="14.25" hidden="false" customHeight="false" outlineLevel="0" collapsed="false">
      <c r="A17" s="31"/>
      <c r="B17" s="31"/>
      <c r="C17" s="31"/>
      <c r="D17" s="31"/>
      <c r="E17" s="4"/>
      <c r="F17" s="4"/>
      <c r="G17" s="4"/>
      <c r="H17" s="4"/>
      <c r="I17" s="4"/>
      <c r="J17" s="4"/>
    </row>
    <row r="18" customFormat="false" ht="14.25" hidden="false" customHeight="false" outlineLevel="0" collapsed="false">
      <c r="A18" s="31"/>
      <c r="B18" s="31"/>
      <c r="C18" s="31"/>
      <c r="D18" s="31"/>
      <c r="E18" s="4"/>
      <c r="F18" s="4"/>
      <c r="G18" s="4"/>
      <c r="H18" s="4"/>
      <c r="I18" s="4"/>
      <c r="J18" s="4"/>
    </row>
    <row r="19" customFormat="false" ht="14.25" hidden="false" customHeight="false" outlineLevel="0" collapsed="false">
      <c r="A19" s="31"/>
      <c r="B19" s="31"/>
      <c r="C19" s="31"/>
      <c r="D19" s="31"/>
      <c r="E19" s="4"/>
      <c r="F19" s="4"/>
      <c r="G19" s="4"/>
      <c r="H19" s="4"/>
      <c r="I19" s="4"/>
      <c r="J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4"/>
      <c r="J20" s="4"/>
    </row>
  </sheetData>
  <mergeCells count="3">
    <mergeCell ref="A1:D1"/>
    <mergeCell ref="A2:D2"/>
    <mergeCell ref="B16:C16"/>
  </mergeCells>
  <conditionalFormatting sqref="C14">
    <cfRule type="expression" priority="2" aboveAverage="0" equalAverage="0" bottom="0" percent="0" rank="0" text="" dxfId="0">
      <formula>LEFT($C$14,1)="✔"</formula>
    </cfRule>
    <cfRule type="expression" priority="3" aboveAverage="0" equalAverage="0" bottom="0" percent="0" rank="0" text="" dxfId="1">
      <formula>LEFT($C$14,1)="●"</formula>
    </cfRule>
    <cfRule type="expression" priority="4" aboveAverage="0" equalAverage="0" bottom="0" percent="0" rank="0" text="" dxfId="1">
      <formula>LEFT($C$14,1)="○"</formula>
    </cfRule>
    <cfRule type="expression" priority="5" aboveAverage="0" equalAverage="0" bottom="0" percent="0" rank="0" text="" dxfId="2">
      <formula>LEFT($C$14,1)="⚠"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N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2"/>
    <col collapsed="false" customWidth="true" hidden="false" outlineLevel="0" max="4" min="3" style="0" width="18"/>
    <col collapsed="false" customWidth="true" hidden="false" outlineLevel="0" max="5" min="5" style="0" width="20"/>
    <col collapsed="false" customWidth="true" hidden="false" outlineLevel="0" max="7" min="6" style="0" width="18"/>
    <col collapsed="false" customWidth="true" hidden="false" outlineLevel="0" max="8" min="8" style="0" width="2.4"/>
  </cols>
  <sheetData>
    <row r="1" customFormat="false" ht="33.75" hidden="false" customHeight="true" outlineLevel="0" collapsed="false">
      <c r="A1" s="2" t="s">
        <v>353</v>
      </c>
      <c r="B1" s="2"/>
      <c r="C1" s="2"/>
      <c r="D1" s="2"/>
      <c r="E1" s="2"/>
      <c r="F1" s="2"/>
      <c r="G1" s="28" t="str">
        <f aca="false">HYPERLINK("#Beranda!A1","⌂  Beranda")</f>
        <v>⌂  Beranda</v>
      </c>
      <c r="H1" s="28"/>
      <c r="I1" s="4"/>
      <c r="J1" s="4"/>
      <c r="K1" s="4"/>
      <c r="L1" s="4"/>
      <c r="M1" s="4"/>
      <c r="N1" s="4"/>
    </row>
    <row r="2" customFormat="false" ht="15.75" hidden="false" customHeight="true" outlineLevel="0" collapsed="false">
      <c r="A2" s="5" t="s">
        <v>354</v>
      </c>
      <c r="B2" s="5"/>
      <c r="C2" s="5"/>
      <c r="D2" s="5"/>
      <c r="E2" s="5"/>
      <c r="F2" s="5"/>
      <c r="G2" s="5"/>
      <c r="H2" s="5"/>
      <c r="I2" s="4"/>
      <c r="J2" s="4"/>
      <c r="K2" s="4"/>
      <c r="L2" s="4"/>
      <c r="M2" s="4"/>
      <c r="N2" s="4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4"/>
      <c r="J3" s="4"/>
      <c r="K3" s="4"/>
      <c r="L3" s="4"/>
      <c r="M3" s="4"/>
      <c r="N3" s="4"/>
    </row>
    <row r="4" customFormat="false" ht="25.5" hidden="false" customHeight="true" outlineLevel="0" collapsed="false">
      <c r="A4" s="44" t="s">
        <v>126</v>
      </c>
      <c r="B4" s="44" t="s">
        <v>355</v>
      </c>
      <c r="C4" s="56" t="s">
        <v>223</v>
      </c>
      <c r="D4" s="56" t="s">
        <v>356</v>
      </c>
      <c r="E4" s="56" t="s">
        <v>357</v>
      </c>
      <c r="F4" s="56" t="s">
        <v>358</v>
      </c>
      <c r="G4" s="56" t="s">
        <v>359</v>
      </c>
      <c r="H4" s="121"/>
      <c r="I4" s="4"/>
      <c r="J4" s="4"/>
      <c r="K4" s="4"/>
      <c r="L4" s="4"/>
      <c r="M4" s="4"/>
      <c r="N4" s="4"/>
    </row>
    <row r="5" customFormat="false" ht="18.75" hidden="false" customHeight="true" outlineLevel="0" collapsed="false">
      <c r="A5" s="75" t="str">
        <f aca="false">Master!$A$5</f>
        <v>Operasional</v>
      </c>
      <c r="B5" s="104" t="str">
        <f aca="false">Master!$B$5</f>
        <v>Tanpa Pembatasan</v>
      </c>
      <c r="C5" s="77" t="n">
        <f aca="false">Dashboard!$D$10</f>
        <v>10850000</v>
      </c>
      <c r="D5" s="77" t="n">
        <f aca="false">Dashboard!$E$10</f>
        <v>42835000</v>
      </c>
      <c r="E5" s="77" t="n">
        <f aca="false">C5-D5</f>
        <v>-31985000</v>
      </c>
      <c r="F5" s="77" t="n">
        <f aca="false">Master!$E$25</f>
        <v>25000000</v>
      </c>
      <c r="G5" s="103" t="n">
        <f aca="false">F5+E5</f>
        <v>-6985000</v>
      </c>
      <c r="H5" s="31"/>
      <c r="I5" s="4"/>
      <c r="J5" s="4"/>
      <c r="K5" s="4"/>
      <c r="L5" s="4"/>
      <c r="M5" s="4"/>
      <c r="N5" s="4"/>
    </row>
    <row r="6" customFormat="false" ht="18.75" hidden="false" customHeight="true" outlineLevel="0" collapsed="false">
      <c r="A6" s="80" t="str">
        <f aca="false">Master!$A$6</f>
        <v>Pembangunan</v>
      </c>
      <c r="B6" s="106" t="str">
        <f aca="false">Master!$B$6</f>
        <v>Dengan Pembatasan</v>
      </c>
      <c r="C6" s="82" t="n">
        <f aca="false">Dashboard!$D$11</f>
        <v>37500000</v>
      </c>
      <c r="D6" s="82" t="n">
        <f aca="false">Dashboard!$E$11</f>
        <v>34300000</v>
      </c>
      <c r="E6" s="82" t="n">
        <f aca="false">C6-D6</f>
        <v>3200000</v>
      </c>
      <c r="F6" s="82" t="n">
        <f aca="false">Master!$E$26</f>
        <v>45000000</v>
      </c>
      <c r="G6" s="105" t="n">
        <f aca="false">F6+E6</f>
        <v>48200000</v>
      </c>
      <c r="H6" s="31"/>
      <c r="I6" s="4"/>
      <c r="J6" s="4"/>
      <c r="K6" s="4"/>
      <c r="L6" s="4"/>
      <c r="M6" s="4"/>
      <c r="N6" s="4"/>
    </row>
    <row r="7" customFormat="false" ht="18.75" hidden="false" customHeight="true" outlineLevel="0" collapsed="false">
      <c r="A7" s="75" t="str">
        <f aca="false">Master!$A$7</f>
        <v>Zakat</v>
      </c>
      <c r="B7" s="104" t="str">
        <f aca="false">Master!$B$7</f>
        <v>Dengan Pembatasan</v>
      </c>
      <c r="C7" s="77" t="n">
        <f aca="false">Dashboard!$D$12</f>
        <v>23400000</v>
      </c>
      <c r="D7" s="77" t="n">
        <f aca="false">Dashboard!$E$12</f>
        <v>21700000</v>
      </c>
      <c r="E7" s="77" t="n">
        <f aca="false">C7-D7</f>
        <v>1700000</v>
      </c>
      <c r="F7" s="77" t="n">
        <f aca="false">Master!$E$27</f>
        <v>5000000</v>
      </c>
      <c r="G7" s="103" t="n">
        <f aca="false">F7+E7</f>
        <v>6700000</v>
      </c>
      <c r="H7" s="31"/>
      <c r="I7" s="4"/>
      <c r="J7" s="4"/>
      <c r="K7" s="4"/>
      <c r="L7" s="4"/>
      <c r="M7" s="4"/>
      <c r="N7" s="4"/>
    </row>
    <row r="8" customFormat="false" ht="18.75" hidden="false" customHeight="true" outlineLevel="0" collapsed="false">
      <c r="A8" s="80" t="str">
        <f aca="false">Master!$A$8</f>
        <v>Infak</v>
      </c>
      <c r="B8" s="106" t="str">
        <f aca="false">Master!$B$8</f>
        <v>Tanpa Pembatasan</v>
      </c>
      <c r="C8" s="82" t="n">
        <f aca="false">Dashboard!$D$13</f>
        <v>112040000</v>
      </c>
      <c r="D8" s="82" t="n">
        <f aca="false">Dashboard!$E$13</f>
        <v>21150000</v>
      </c>
      <c r="E8" s="82" t="n">
        <f aca="false">C8-D8</f>
        <v>90890000</v>
      </c>
      <c r="F8" s="82" t="n">
        <f aca="false">Master!$E$28</f>
        <v>10000000</v>
      </c>
      <c r="G8" s="105" t="n">
        <f aca="false">F8+E8</f>
        <v>100890000</v>
      </c>
      <c r="H8" s="31"/>
      <c r="I8" s="4"/>
      <c r="J8" s="4"/>
      <c r="K8" s="4"/>
      <c r="L8" s="4"/>
      <c r="M8" s="4"/>
      <c r="N8" s="4"/>
    </row>
    <row r="9" customFormat="false" ht="18.75" hidden="false" customHeight="true" outlineLevel="0" collapsed="false">
      <c r="A9" s="75" t="str">
        <f aca="false">Master!$A$9</f>
        <v>Sedekah</v>
      </c>
      <c r="B9" s="104" t="str">
        <f aca="false">Master!$B$9</f>
        <v>Tanpa Pembatasan</v>
      </c>
      <c r="C9" s="77" t="n">
        <f aca="false">Dashboard!$D$14</f>
        <v>30260000</v>
      </c>
      <c r="D9" s="77" t="n">
        <f aca="false">Dashboard!$E$14</f>
        <v>5250000</v>
      </c>
      <c r="E9" s="77" t="n">
        <f aca="false">C9-D9</f>
        <v>25010000</v>
      </c>
      <c r="F9" s="77" t="n">
        <f aca="false">Master!$E$29</f>
        <v>5000000</v>
      </c>
      <c r="G9" s="103" t="n">
        <f aca="false">F9+E9</f>
        <v>30010000</v>
      </c>
      <c r="H9" s="31"/>
      <c r="I9" s="4"/>
      <c r="J9" s="4"/>
      <c r="K9" s="4"/>
      <c r="L9" s="4"/>
      <c r="M9" s="4"/>
      <c r="N9" s="4"/>
    </row>
    <row r="10" customFormat="false" ht="18.75" hidden="false" customHeight="true" outlineLevel="0" collapsed="false">
      <c r="A10" s="80" t="str">
        <f aca="false">Master!$A$10</f>
        <v>Wakaf</v>
      </c>
      <c r="B10" s="106" t="str">
        <f aca="false">Master!$B$10</f>
        <v>Dengan Pembatasan</v>
      </c>
      <c r="C10" s="82" t="n">
        <f aca="false">Dashboard!$D$15</f>
        <v>20000000</v>
      </c>
      <c r="D10" s="82" t="n">
        <f aca="false">Dashboard!$E$15</f>
        <v>10000000</v>
      </c>
      <c r="E10" s="82" t="n">
        <f aca="false">C10-D10</f>
        <v>10000000</v>
      </c>
      <c r="F10" s="82" t="n">
        <f aca="false">Master!$E$30</f>
        <v>8000000</v>
      </c>
      <c r="G10" s="105" t="n">
        <f aca="false">F10+E10</f>
        <v>18000000</v>
      </c>
      <c r="H10" s="31"/>
      <c r="I10" s="4"/>
      <c r="J10" s="4"/>
      <c r="K10" s="4"/>
      <c r="L10" s="4"/>
      <c r="M10" s="4"/>
      <c r="N10" s="4"/>
    </row>
    <row r="11" customFormat="false" ht="18.75" hidden="false" customHeight="true" outlineLevel="0" collapsed="false">
      <c r="A11" s="75" t="str">
        <f aca="false">Master!$A$11</f>
        <v>Lainnya</v>
      </c>
      <c r="B11" s="104" t="str">
        <f aca="false">Master!$B$11</f>
        <v>Tanpa Pembatasan</v>
      </c>
      <c r="C11" s="77" t="n">
        <f aca="false">Dashboard!$D$16</f>
        <v>10000000</v>
      </c>
      <c r="D11" s="77" t="n">
        <f aca="false">Dashboard!$E$16</f>
        <v>0</v>
      </c>
      <c r="E11" s="77" t="n">
        <f aca="false">C11-D11</f>
        <v>10000000</v>
      </c>
      <c r="F11" s="77" t="n">
        <f aca="false">Master!$E$31</f>
        <v>2000000</v>
      </c>
      <c r="G11" s="103" t="n">
        <f aca="false">F11+E11</f>
        <v>12000000</v>
      </c>
      <c r="H11" s="31"/>
      <c r="I11" s="4"/>
      <c r="J11" s="4"/>
      <c r="K11" s="4"/>
      <c r="L11" s="4"/>
      <c r="M11" s="4"/>
      <c r="N11" s="4"/>
    </row>
    <row r="12" customFormat="false" ht="21.75" hidden="false" customHeight="true" outlineLevel="0" collapsed="false">
      <c r="A12" s="85" t="s">
        <v>184</v>
      </c>
      <c r="B12" s="101"/>
      <c r="C12" s="86" t="n">
        <f aca="false">SUM(C5:C11)</f>
        <v>244050000</v>
      </c>
      <c r="D12" s="86" t="n">
        <f aca="false">SUM(D5:D11)</f>
        <v>135235000</v>
      </c>
      <c r="E12" s="86" t="n">
        <f aca="false">SUM(E5:E11)</f>
        <v>108815000</v>
      </c>
      <c r="F12" s="86" t="n">
        <f aca="false">SUM(F5:F11)</f>
        <v>100000000</v>
      </c>
      <c r="G12" s="107" t="n">
        <f aca="false">SUM(G5:G11)</f>
        <v>208815000</v>
      </c>
      <c r="H12" s="31"/>
      <c r="I12" s="4"/>
      <c r="J12" s="4"/>
      <c r="K12" s="4"/>
      <c r="L12" s="4"/>
      <c r="M12" s="4"/>
      <c r="N12" s="4"/>
    </row>
    <row r="13" customFormat="false" ht="9.75" hidden="fals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4"/>
      <c r="J13" s="4"/>
      <c r="K13" s="4"/>
      <c r="L13" s="4"/>
      <c r="M13" s="4"/>
      <c r="N13" s="4"/>
    </row>
    <row r="14" customFormat="false" ht="21.75" hidden="false" customHeight="true" outlineLevel="0" collapsed="false">
      <c r="A14" s="7" t="s">
        <v>360</v>
      </c>
      <c r="B14" s="7"/>
      <c r="C14" s="7"/>
      <c r="D14" s="7"/>
      <c r="E14" s="7"/>
      <c r="F14" s="7"/>
      <c r="G14" s="7"/>
      <c r="H14" s="31"/>
      <c r="I14" s="4"/>
      <c r="J14" s="4"/>
      <c r="K14" s="4"/>
      <c r="L14" s="4"/>
      <c r="M14" s="4"/>
      <c r="N14" s="4"/>
    </row>
    <row r="15" customFormat="false" ht="25.5" hidden="false" customHeight="true" outlineLevel="0" collapsed="false">
      <c r="A15" s="44" t="s">
        <v>355</v>
      </c>
      <c r="B15" s="44"/>
      <c r="C15" s="56" t="s">
        <v>223</v>
      </c>
      <c r="D15" s="56" t="s">
        <v>356</v>
      </c>
      <c r="E15" s="56" t="s">
        <v>357</v>
      </c>
      <c r="F15" s="56" t="s">
        <v>358</v>
      </c>
      <c r="G15" s="56" t="s">
        <v>359</v>
      </c>
      <c r="H15" s="31"/>
      <c r="I15" s="4"/>
      <c r="J15" s="4"/>
      <c r="K15" s="4"/>
      <c r="L15" s="4"/>
      <c r="M15" s="4"/>
      <c r="N15" s="4"/>
    </row>
    <row r="16" customFormat="false" ht="19.5" hidden="false" customHeight="true" outlineLevel="0" collapsed="false">
      <c r="A16" s="75" t="s">
        <v>51</v>
      </c>
      <c r="B16" s="75"/>
      <c r="C16" s="77" t="n">
        <f aca="false">SUMIF($B$5:$B$11,$A16,C$5:C$11)</f>
        <v>163150000</v>
      </c>
      <c r="D16" s="77" t="n">
        <f aca="false">SUMIF($B$5:$B$11,$A16,D$5:D$11)</f>
        <v>69235000</v>
      </c>
      <c r="E16" s="77" t="n">
        <f aca="false">SUMIF($B$5:$B$11,$A16,E$5:E$11)</f>
        <v>93915000</v>
      </c>
      <c r="F16" s="77" t="n">
        <f aca="false">SUMIF($B$5:$B$11,$A16,F$5:F$11)</f>
        <v>42000000</v>
      </c>
      <c r="G16" s="103" t="n">
        <f aca="false">SUMIF($B$5:$B$11,$A16,G$5:G$11)</f>
        <v>135915000</v>
      </c>
      <c r="H16" s="31"/>
      <c r="I16" s="4"/>
      <c r="J16" s="4"/>
      <c r="K16" s="4"/>
      <c r="L16" s="4"/>
      <c r="M16" s="4"/>
      <c r="N16" s="4"/>
    </row>
    <row r="17" customFormat="false" ht="19.5" hidden="false" customHeight="true" outlineLevel="0" collapsed="false">
      <c r="A17" s="80" t="s">
        <v>60</v>
      </c>
      <c r="B17" s="80"/>
      <c r="C17" s="82" t="n">
        <f aca="false">SUMIF($B$5:$B$11,$A17,C$5:C$11)</f>
        <v>80900000</v>
      </c>
      <c r="D17" s="82" t="n">
        <f aca="false">SUMIF($B$5:$B$11,$A17,D$5:D$11)</f>
        <v>66000000</v>
      </c>
      <c r="E17" s="82" t="n">
        <f aca="false">SUMIF($B$5:$B$11,$A17,E$5:E$11)</f>
        <v>14900000</v>
      </c>
      <c r="F17" s="82" t="n">
        <f aca="false">SUMIF($B$5:$B$11,$A17,F$5:F$11)</f>
        <v>58000000</v>
      </c>
      <c r="G17" s="105" t="n">
        <f aca="false">SUMIF($B$5:$B$11,$A17,G$5:G$11)</f>
        <v>72900000</v>
      </c>
      <c r="H17" s="31"/>
      <c r="I17" s="4"/>
      <c r="J17" s="4"/>
      <c r="K17" s="4"/>
      <c r="L17" s="4"/>
      <c r="M17" s="4"/>
      <c r="N17" s="4"/>
    </row>
    <row r="18" customFormat="false" ht="21.75" hidden="false" customHeight="true" outlineLevel="0" collapsed="false">
      <c r="A18" s="85" t="s">
        <v>361</v>
      </c>
      <c r="B18" s="85"/>
      <c r="C18" s="86" t="n">
        <f aca="false">SUM(C16:C17)</f>
        <v>244050000</v>
      </c>
      <c r="D18" s="86" t="n">
        <f aca="false">SUM(D16:D17)</f>
        <v>135235000</v>
      </c>
      <c r="E18" s="86" t="n">
        <f aca="false">SUM(E16:E17)</f>
        <v>108815000</v>
      </c>
      <c r="F18" s="86" t="n">
        <f aca="false">SUM(F16:F17)</f>
        <v>100000000</v>
      </c>
      <c r="G18" s="107" t="n">
        <f aca="false">SUM(G16:G17)</f>
        <v>208815000</v>
      </c>
      <c r="H18" s="31"/>
      <c r="I18" s="4"/>
      <c r="J18" s="4"/>
      <c r="K18" s="4"/>
      <c r="L18" s="4"/>
      <c r="M18" s="4"/>
      <c r="N18" s="4"/>
    </row>
    <row r="19" customFormat="false" ht="9.7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4"/>
      <c r="J19" s="4"/>
      <c r="K19" s="4"/>
      <c r="L19" s="4"/>
      <c r="M19" s="4"/>
      <c r="N19" s="4"/>
    </row>
    <row r="20" customFormat="false" ht="14.25" hidden="false" customHeight="true" outlineLevel="0" collapsed="false">
      <c r="A20" s="27" t="s">
        <v>362</v>
      </c>
      <c r="B20" s="27"/>
      <c r="C20" s="27"/>
      <c r="D20" s="27"/>
      <c r="E20" s="27"/>
      <c r="F20" s="27"/>
      <c r="G20" s="27"/>
      <c r="H20" s="31"/>
      <c r="I20" s="4"/>
      <c r="J20" s="4"/>
      <c r="K20" s="4"/>
      <c r="L20" s="4"/>
      <c r="M20" s="4"/>
      <c r="N20" s="4"/>
    </row>
    <row r="21" customFormat="false" ht="14.25" hidden="false" customHeight="false" outlineLevel="0" collapsed="false">
      <c r="A21" s="31"/>
      <c r="B21" s="31"/>
      <c r="C21" s="31"/>
      <c r="D21" s="31"/>
      <c r="E21" s="31"/>
      <c r="F21" s="31"/>
      <c r="G21" s="31"/>
      <c r="H21" s="31"/>
      <c r="I21" s="4"/>
      <c r="J21" s="4"/>
      <c r="K21" s="4"/>
      <c r="L21" s="4"/>
      <c r="M21" s="4"/>
      <c r="N21" s="4"/>
    </row>
    <row r="22" customFormat="false" ht="14.2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</sheetData>
  <mergeCells count="9">
    <mergeCell ref="A1:F1"/>
    <mergeCell ref="G1:H1"/>
    <mergeCell ref="A2:H2"/>
    <mergeCell ref="A14:G14"/>
    <mergeCell ref="A15:B15"/>
    <mergeCell ref="A16:B16"/>
    <mergeCell ref="A17:B17"/>
    <mergeCell ref="A18:B18"/>
    <mergeCell ref="A20:G20"/>
  </mergeCells>
  <conditionalFormatting sqref="E5:E11">
    <cfRule type="cellIs" priority="2" operator="lessThan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J23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6"/>
    <col collapsed="false" customWidth="true" hidden="false" outlineLevel="0" max="3" min="3" style="0" width="24"/>
    <col collapsed="false" customWidth="true" hidden="false" outlineLevel="0" max="4" min="4" style="0" width="3"/>
  </cols>
  <sheetData>
    <row r="1" customFormat="false" ht="33.75" hidden="false" customHeight="true" outlineLevel="0" collapsed="false">
      <c r="A1" s="2" t="s">
        <v>363</v>
      </c>
      <c r="B1" s="2"/>
      <c r="C1" s="2"/>
      <c r="D1" s="2"/>
      <c r="E1" s="4"/>
      <c r="F1" s="4"/>
      <c r="G1" s="4"/>
      <c r="H1" s="4"/>
      <c r="I1" s="4"/>
      <c r="J1" s="4"/>
    </row>
    <row r="2" customFormat="false" ht="15.75" hidden="false" customHeight="true" outlineLevel="0" collapsed="false">
      <c r="A2" s="5" t="s">
        <v>364</v>
      </c>
      <c r="B2" s="5"/>
      <c r="C2" s="5"/>
      <c r="D2" s="5"/>
      <c r="E2" s="4"/>
      <c r="F2" s="4"/>
      <c r="G2" s="4"/>
      <c r="H2" s="4"/>
      <c r="I2" s="4"/>
      <c r="J2" s="4"/>
    </row>
    <row r="3" customFormat="false" ht="12" hidden="false" customHeight="true" outlineLevel="0" collapsed="false">
      <c r="A3" s="29"/>
      <c r="B3" s="29"/>
      <c r="C3" s="29"/>
      <c r="D3" s="29"/>
      <c r="E3" s="4"/>
      <c r="F3" s="4"/>
      <c r="G3" s="4"/>
      <c r="H3" s="4"/>
      <c r="I3" s="4"/>
      <c r="J3" s="4"/>
    </row>
    <row r="4" customFormat="false" ht="9.75" hidden="false" customHeight="true" outlineLevel="0" collapsed="false">
      <c r="A4" s="31"/>
      <c r="B4" s="31"/>
      <c r="C4" s="31"/>
      <c r="D4" s="31"/>
      <c r="E4" s="4"/>
      <c r="F4" s="4"/>
      <c r="G4" s="4"/>
      <c r="H4" s="4"/>
      <c r="I4" s="4"/>
      <c r="J4" s="4"/>
    </row>
    <row r="5" customFormat="false" ht="24" hidden="false" customHeight="true" outlineLevel="0" collapsed="false">
      <c r="A5" s="31"/>
      <c r="B5" s="134" t="s">
        <v>365</v>
      </c>
      <c r="C5" s="135"/>
      <c r="D5" s="31"/>
      <c r="E5" s="4"/>
      <c r="F5" s="4"/>
      <c r="G5" s="4"/>
      <c r="H5" s="4"/>
      <c r="I5" s="4"/>
      <c r="J5" s="4"/>
    </row>
    <row r="6" customFormat="false" ht="19.5" hidden="false" customHeight="true" outlineLevel="0" collapsed="false">
      <c r="A6" s="31"/>
      <c r="B6" s="47" t="s">
        <v>366</v>
      </c>
      <c r="C6" s="133" t="n">
        <f aca="false">SUM(Penerimaan!$J$6:$J$400)</f>
        <v>244050000</v>
      </c>
      <c r="D6" s="31"/>
      <c r="E6" s="4"/>
      <c r="F6" s="4"/>
      <c r="G6" s="4"/>
      <c r="H6" s="4"/>
      <c r="I6" s="4"/>
      <c r="J6" s="4"/>
    </row>
    <row r="7" customFormat="false" ht="19.5" hidden="false" customHeight="true" outlineLevel="0" collapsed="false">
      <c r="A7" s="31"/>
      <c r="B7" s="47" t="s">
        <v>367</v>
      </c>
      <c r="C7" s="133" t="n">
        <f aca="false">-(SUM(Pengeluaran!$J$6:$J$400)-(SUMIFS(Pengeluaran!$J$6:$J$400,Pengeluaran!$E$6:$E$400,"Pembangunan")+SUMIFS(Pengeluaran!$J$6:$J$400,Pengeluaran!$E$6:$E$400,"Pembelian Aset")))</f>
        <v>-82435000</v>
      </c>
      <c r="D7" s="31"/>
      <c r="E7" s="4"/>
      <c r="F7" s="4"/>
      <c r="G7" s="4"/>
      <c r="H7" s="4"/>
      <c r="I7" s="4"/>
      <c r="J7" s="4"/>
    </row>
    <row r="8" customFormat="false" ht="21" hidden="false" customHeight="true" outlineLevel="0" collapsed="false">
      <c r="A8" s="31"/>
      <c r="B8" s="136" t="s">
        <v>368</v>
      </c>
      <c r="C8" s="137" t="n">
        <f aca="false">C6+C7</f>
        <v>161615000</v>
      </c>
      <c r="D8" s="31"/>
      <c r="E8" s="4"/>
      <c r="F8" s="4"/>
      <c r="G8" s="4"/>
      <c r="H8" s="4"/>
      <c r="I8" s="4"/>
      <c r="J8" s="4"/>
    </row>
    <row r="9" customFormat="false" ht="24" hidden="false" customHeight="true" outlineLevel="0" collapsed="false">
      <c r="A9" s="31"/>
      <c r="B9" s="138" t="s">
        <v>369</v>
      </c>
      <c r="C9" s="139"/>
      <c r="D9" s="31"/>
      <c r="E9" s="4"/>
      <c r="F9" s="4"/>
      <c r="G9" s="4"/>
      <c r="H9" s="4"/>
      <c r="I9" s="4"/>
      <c r="J9" s="4"/>
    </row>
    <row r="10" customFormat="false" ht="19.5" hidden="false" customHeight="true" outlineLevel="0" collapsed="false">
      <c r="A10" s="31"/>
      <c r="B10" s="47" t="s">
        <v>370</v>
      </c>
      <c r="C10" s="133" t="n">
        <f aca="false">-(SUMIFS(Pengeluaran!$J$6:$J$400,Pengeluaran!$E$6:$E$400,"Pembangunan")+SUMIFS(Pengeluaran!$J$6:$J$400,Pengeluaran!$E$6:$E$400,"Pembelian Aset"))</f>
        <v>-52800000</v>
      </c>
      <c r="D10" s="31"/>
      <c r="E10" s="4"/>
      <c r="F10" s="4"/>
      <c r="G10" s="4"/>
      <c r="H10" s="4"/>
      <c r="I10" s="4"/>
      <c r="J10" s="4"/>
    </row>
    <row r="11" customFormat="false" ht="21" hidden="false" customHeight="true" outlineLevel="0" collapsed="false">
      <c r="A11" s="31"/>
      <c r="B11" s="136" t="s">
        <v>371</v>
      </c>
      <c r="C11" s="137" t="n">
        <f aca="false">C10</f>
        <v>-52800000</v>
      </c>
      <c r="D11" s="31"/>
      <c r="E11" s="4"/>
      <c r="F11" s="4"/>
      <c r="G11" s="4"/>
      <c r="H11" s="4"/>
      <c r="I11" s="4"/>
      <c r="J11" s="4"/>
    </row>
    <row r="12" customFormat="false" ht="24" hidden="false" customHeight="true" outlineLevel="0" collapsed="false">
      <c r="A12" s="31"/>
      <c r="B12" s="138" t="s">
        <v>372</v>
      </c>
      <c r="C12" s="139"/>
      <c r="D12" s="31"/>
      <c r="E12" s="4"/>
      <c r="F12" s="4"/>
      <c r="G12" s="4"/>
      <c r="H12" s="4"/>
      <c r="I12" s="4"/>
      <c r="J12" s="4"/>
    </row>
    <row r="13" customFormat="false" ht="19.5" hidden="false" customHeight="true" outlineLevel="0" collapsed="false">
      <c r="A13" s="31"/>
      <c r="B13" s="47" t="s">
        <v>373</v>
      </c>
      <c r="C13" s="133" t="n">
        <f aca="false">0</f>
        <v>0</v>
      </c>
      <c r="D13" s="31"/>
      <c r="E13" s="4"/>
      <c r="F13" s="4"/>
      <c r="G13" s="4"/>
      <c r="H13" s="4"/>
      <c r="I13" s="4"/>
      <c r="J13" s="4"/>
    </row>
    <row r="14" customFormat="false" ht="21" hidden="false" customHeight="true" outlineLevel="0" collapsed="false">
      <c r="A14" s="31"/>
      <c r="B14" s="140" t="s">
        <v>374</v>
      </c>
      <c r="C14" s="141" t="n">
        <f aca="false">C13</f>
        <v>0</v>
      </c>
      <c r="D14" s="31"/>
      <c r="E14" s="4"/>
      <c r="F14" s="4"/>
      <c r="G14" s="4"/>
      <c r="H14" s="4"/>
      <c r="I14" s="4"/>
      <c r="J14" s="4"/>
    </row>
    <row r="15" customFormat="false" ht="24" hidden="false" customHeight="true" outlineLevel="0" collapsed="false">
      <c r="A15" s="31"/>
      <c r="B15" s="142" t="s">
        <v>375</v>
      </c>
      <c r="C15" s="143" t="n">
        <f aca="false">C8+C11+C14</f>
        <v>108815000</v>
      </c>
      <c r="D15" s="31"/>
      <c r="E15" s="4"/>
      <c r="F15" s="4"/>
      <c r="G15" s="4"/>
      <c r="H15" s="4"/>
      <c r="I15" s="4"/>
      <c r="J15" s="4"/>
    </row>
    <row r="16" customFormat="false" ht="19.5" hidden="false" customHeight="true" outlineLevel="0" collapsed="false">
      <c r="A16" s="31"/>
      <c r="B16" s="144" t="s">
        <v>376</v>
      </c>
      <c r="C16" s="145" t="n">
        <f aca="false">Master!$B$27</f>
        <v>100000000</v>
      </c>
      <c r="D16" s="31"/>
      <c r="E16" s="4"/>
      <c r="F16" s="4"/>
      <c r="G16" s="4"/>
      <c r="H16" s="4"/>
      <c r="I16" s="4"/>
      <c r="J16" s="4"/>
    </row>
    <row r="17" customFormat="false" ht="27.75" hidden="false" customHeight="true" outlineLevel="0" collapsed="false">
      <c r="A17" s="31"/>
      <c r="B17" s="146" t="s">
        <v>377</v>
      </c>
      <c r="C17" s="147" t="n">
        <f aca="false">C15+C16</f>
        <v>208815000</v>
      </c>
      <c r="D17" s="31"/>
      <c r="E17" s="4"/>
      <c r="F17" s="4"/>
      <c r="G17" s="4"/>
      <c r="H17" s="4"/>
      <c r="I17" s="4"/>
      <c r="J17" s="4"/>
    </row>
    <row r="18" customFormat="false" ht="9.75" hidden="false" customHeight="true" outlineLevel="0" collapsed="false">
      <c r="A18" s="31"/>
      <c r="B18" s="31"/>
      <c r="C18" s="31"/>
      <c r="D18" s="31"/>
      <c r="E18" s="4"/>
      <c r="F18" s="4"/>
      <c r="G18" s="4"/>
      <c r="H18" s="4"/>
      <c r="I18" s="4"/>
      <c r="J18" s="4"/>
    </row>
    <row r="19" customFormat="false" ht="25.5" hidden="false" customHeight="true" outlineLevel="0" collapsed="false">
      <c r="A19" s="31"/>
      <c r="B19" s="114" t="s">
        <v>378</v>
      </c>
      <c r="C19" s="52" t="str">
        <f aca="false">IF(C17=Dashboard!$H$5+Dashboard!$J$5,"✔ Cocok","⚠ Periksa")</f>
        <v>✔ Cocok</v>
      </c>
      <c r="D19" s="31"/>
      <c r="E19" s="4"/>
      <c r="F19" s="4"/>
      <c r="G19" s="4"/>
      <c r="H19" s="4"/>
      <c r="I19" s="4"/>
      <c r="J19" s="4"/>
    </row>
    <row r="20" customFormat="false" ht="14.25" hidden="false" customHeight="false" outlineLevel="0" collapsed="false">
      <c r="A20" s="31"/>
      <c r="B20" s="31"/>
      <c r="C20" s="31"/>
      <c r="D20" s="31"/>
      <c r="E20" s="4"/>
      <c r="F20" s="4"/>
      <c r="G20" s="4"/>
      <c r="H20" s="4"/>
      <c r="I20" s="4"/>
      <c r="J20" s="4"/>
    </row>
    <row r="21" customFormat="false" ht="14.25" hidden="false" customHeight="false" outlineLevel="0" collapsed="false">
      <c r="A21" s="31"/>
      <c r="B21" s="31"/>
      <c r="C21" s="31"/>
      <c r="D21" s="31"/>
      <c r="E21" s="4"/>
      <c r="F21" s="4"/>
      <c r="G21" s="4"/>
      <c r="H21" s="4"/>
      <c r="I21" s="4"/>
      <c r="J21" s="4"/>
    </row>
    <row r="22" customFormat="false" ht="14.2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customFormat="false" ht="14.2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</row>
  </sheetData>
  <mergeCells count="2">
    <mergeCell ref="A1:D1"/>
    <mergeCell ref="A2:D2"/>
  </mergeCells>
  <conditionalFormatting sqref="C19">
    <cfRule type="expression" priority="2" aboveAverage="0" equalAverage="0" bottom="0" percent="0" rank="0" text="" dxfId="0">
      <formula>LEFT($C$19,1)="✔"</formula>
    </cfRule>
    <cfRule type="expression" priority="3" aboveAverage="0" equalAverage="0" bottom="0" percent="0" rank="0" text="" dxfId="1">
      <formula>LEFT($C$19,1)="●"</formula>
    </cfRule>
    <cfRule type="expression" priority="4" aboveAverage="0" equalAverage="0" bottom="0" percent="0" rank="0" text="" dxfId="1">
      <formula>LEFT($C$19,1)="○"</formula>
    </cfRule>
    <cfRule type="expression" priority="5" aboveAverage="0" equalAverage="0" bottom="0" percent="0" rank="0" text="" dxfId="2">
      <formula>LEFT($C$19,1)="⚠"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M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5" min="1" style="0" width="27"/>
    <col collapsed="false" customWidth="true" hidden="false" outlineLevel="0" max="6" min="6" style="0" width="15"/>
    <col collapsed="false" customWidth="true" hidden="false" outlineLevel="0" max="7" min="7" style="0" width="2.4"/>
  </cols>
  <sheetData>
    <row r="1" customFormat="false" ht="33.75" hidden="false" customHeight="true" outlineLevel="0" collapsed="false">
      <c r="A1" s="2" t="s">
        <v>379</v>
      </c>
      <c r="B1" s="2"/>
      <c r="C1" s="2"/>
      <c r="D1" s="2"/>
      <c r="E1" s="2"/>
      <c r="F1" s="28" t="str">
        <f aca="false">HYPERLINK("#Beranda!A1","⌂  Beranda")</f>
        <v>⌂  Beranda</v>
      </c>
      <c r="G1" s="28"/>
      <c r="H1" s="4"/>
      <c r="I1" s="4"/>
      <c r="J1" s="4"/>
      <c r="K1" s="4"/>
      <c r="L1" s="4"/>
      <c r="M1" s="4"/>
    </row>
    <row r="2" customFormat="false" ht="15.75" hidden="false" customHeight="true" outlineLevel="0" collapsed="false">
      <c r="A2" s="5" t="s">
        <v>380</v>
      </c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4"/>
      <c r="I3" s="4"/>
      <c r="J3" s="4"/>
      <c r="K3" s="4"/>
      <c r="L3" s="4"/>
      <c r="M3" s="4"/>
    </row>
    <row r="4" customFormat="false" ht="21.75" hidden="false" customHeight="true" outlineLevel="0" collapsed="false">
      <c r="A4" s="7" t="s">
        <v>381</v>
      </c>
      <c r="B4" s="7"/>
      <c r="C4" s="7"/>
      <c r="D4" s="7"/>
      <c r="E4" s="7"/>
      <c r="F4" s="7"/>
      <c r="G4" s="7"/>
      <c r="H4" s="4"/>
      <c r="I4" s="4"/>
      <c r="J4" s="4"/>
      <c r="K4" s="4"/>
      <c r="L4" s="4"/>
      <c r="M4" s="4"/>
    </row>
    <row r="5" customFormat="false" ht="25.5" hidden="false" customHeight="true" outlineLevel="0" collapsed="false">
      <c r="A5" s="44" t="s">
        <v>126</v>
      </c>
      <c r="B5" s="56" t="s">
        <v>222</v>
      </c>
      <c r="C5" s="56" t="s">
        <v>223</v>
      </c>
      <c r="D5" s="56" t="s">
        <v>224</v>
      </c>
      <c r="E5" s="56" t="s">
        <v>225</v>
      </c>
      <c r="F5" s="56" t="s">
        <v>382</v>
      </c>
      <c r="G5" s="121"/>
      <c r="H5" s="4"/>
      <c r="I5" s="4"/>
      <c r="J5" s="4"/>
      <c r="K5" s="4"/>
      <c r="L5" s="4"/>
      <c r="M5" s="4"/>
    </row>
    <row r="6" customFormat="false" ht="18.75" hidden="false" customHeight="true" outlineLevel="0" collapsed="false">
      <c r="A6" s="75" t="str">
        <f aca="false">Master!$A$5</f>
        <v>Operasional</v>
      </c>
      <c r="B6" s="77" t="n">
        <f aca="false">Dashboard!$C$10</f>
        <v>25000000</v>
      </c>
      <c r="C6" s="77" t="n">
        <f aca="false">Dashboard!$D$10</f>
        <v>10850000</v>
      </c>
      <c r="D6" s="77" t="n">
        <f aca="false">Dashboard!$E$10</f>
        <v>42835000</v>
      </c>
      <c r="E6" s="77" t="n">
        <f aca="false">Dashboard!$F$10</f>
        <v>-6985000</v>
      </c>
      <c r="F6" s="109" t="n">
        <f aca="false">IF(B6+C6=0,0,D6/(B6+C6))</f>
        <v>1.19483960948396</v>
      </c>
      <c r="G6" s="31"/>
      <c r="H6" s="4"/>
      <c r="I6" s="4"/>
      <c r="J6" s="4"/>
      <c r="K6" s="4"/>
      <c r="L6" s="4"/>
      <c r="M6" s="4"/>
    </row>
    <row r="7" customFormat="false" ht="18.75" hidden="false" customHeight="true" outlineLevel="0" collapsed="false">
      <c r="A7" s="80" t="str">
        <f aca="false">Master!$A$6</f>
        <v>Pembangunan</v>
      </c>
      <c r="B7" s="82" t="n">
        <f aca="false">Dashboard!$C$11</f>
        <v>45000000</v>
      </c>
      <c r="C7" s="82" t="n">
        <f aca="false">Dashboard!$D$11</f>
        <v>37500000</v>
      </c>
      <c r="D7" s="82" t="n">
        <f aca="false">Dashboard!$E$11</f>
        <v>34300000</v>
      </c>
      <c r="E7" s="82" t="n">
        <f aca="false">Dashboard!$F$11</f>
        <v>48200000</v>
      </c>
      <c r="F7" s="112" t="n">
        <f aca="false">IF(B7+C7=0,0,D7/(B7+C7))</f>
        <v>0.415757575757576</v>
      </c>
      <c r="G7" s="31"/>
      <c r="H7" s="4"/>
      <c r="I7" s="4"/>
      <c r="J7" s="4"/>
      <c r="K7" s="4"/>
      <c r="L7" s="4"/>
      <c r="M7" s="4"/>
    </row>
    <row r="8" customFormat="false" ht="18.75" hidden="false" customHeight="true" outlineLevel="0" collapsed="false">
      <c r="A8" s="75" t="str">
        <f aca="false">Master!$A$7</f>
        <v>Zakat</v>
      </c>
      <c r="B8" s="77" t="n">
        <f aca="false">Dashboard!$C$12</f>
        <v>5000000</v>
      </c>
      <c r="C8" s="77" t="n">
        <f aca="false">Dashboard!$D$12</f>
        <v>23400000</v>
      </c>
      <c r="D8" s="77" t="n">
        <f aca="false">Dashboard!$E$12</f>
        <v>21700000</v>
      </c>
      <c r="E8" s="77" t="n">
        <f aca="false">Dashboard!$F$12</f>
        <v>6700000</v>
      </c>
      <c r="F8" s="109" t="n">
        <f aca="false">IF(B8+C8=0,0,D8/(B8+C8))</f>
        <v>0.764084507042254</v>
      </c>
      <c r="G8" s="31"/>
      <c r="H8" s="4"/>
      <c r="I8" s="4"/>
      <c r="J8" s="4"/>
      <c r="K8" s="4"/>
      <c r="L8" s="4"/>
      <c r="M8" s="4"/>
    </row>
    <row r="9" customFormat="false" ht="18.75" hidden="false" customHeight="true" outlineLevel="0" collapsed="false">
      <c r="A9" s="80" t="str">
        <f aca="false">Master!$A$8</f>
        <v>Infak</v>
      </c>
      <c r="B9" s="82" t="n">
        <f aca="false">Dashboard!$C$13</f>
        <v>10000000</v>
      </c>
      <c r="C9" s="82" t="n">
        <f aca="false">Dashboard!$D$13</f>
        <v>112040000</v>
      </c>
      <c r="D9" s="82" t="n">
        <f aca="false">Dashboard!$E$13</f>
        <v>21150000</v>
      </c>
      <c r="E9" s="82" t="n">
        <f aca="false">Dashboard!$F$13</f>
        <v>100890000</v>
      </c>
      <c r="F9" s="112" t="n">
        <f aca="false">IF(B9+C9=0,0,D9/(B9+C9))</f>
        <v>0.17330383480826</v>
      </c>
      <c r="G9" s="31"/>
      <c r="H9" s="4"/>
      <c r="I9" s="4"/>
      <c r="J9" s="4"/>
      <c r="K9" s="4"/>
      <c r="L9" s="4"/>
      <c r="M9" s="4"/>
    </row>
    <row r="10" customFormat="false" ht="18.75" hidden="false" customHeight="true" outlineLevel="0" collapsed="false">
      <c r="A10" s="75" t="str">
        <f aca="false">Master!$A$9</f>
        <v>Sedekah</v>
      </c>
      <c r="B10" s="77" t="n">
        <f aca="false">Dashboard!$C$14</f>
        <v>5000000</v>
      </c>
      <c r="C10" s="77" t="n">
        <f aca="false">Dashboard!$D$14</f>
        <v>30260000</v>
      </c>
      <c r="D10" s="77" t="n">
        <f aca="false">Dashboard!$E$14</f>
        <v>5250000</v>
      </c>
      <c r="E10" s="77" t="n">
        <f aca="false">Dashboard!$F$14</f>
        <v>30010000</v>
      </c>
      <c r="F10" s="109" t="n">
        <f aca="false">IF(B10+C10=0,0,D10/(B10+C10))</f>
        <v>0.148893930799773</v>
      </c>
      <c r="G10" s="31"/>
      <c r="H10" s="4"/>
      <c r="I10" s="4"/>
      <c r="J10" s="4"/>
      <c r="K10" s="4"/>
      <c r="L10" s="4"/>
      <c r="M10" s="4"/>
    </row>
    <row r="11" customFormat="false" ht="18.75" hidden="false" customHeight="true" outlineLevel="0" collapsed="false">
      <c r="A11" s="80" t="str">
        <f aca="false">Master!$A$10</f>
        <v>Wakaf</v>
      </c>
      <c r="B11" s="82" t="n">
        <f aca="false">Dashboard!$C$15</f>
        <v>8000000</v>
      </c>
      <c r="C11" s="82" t="n">
        <f aca="false">Dashboard!$D$15</f>
        <v>20000000</v>
      </c>
      <c r="D11" s="82" t="n">
        <f aca="false">Dashboard!$E$15</f>
        <v>10000000</v>
      </c>
      <c r="E11" s="82" t="n">
        <f aca="false">Dashboard!$F$15</f>
        <v>18000000</v>
      </c>
      <c r="F11" s="112" t="n">
        <f aca="false">IF(B11+C11=0,0,D11/(B11+C11))</f>
        <v>0.357142857142857</v>
      </c>
      <c r="G11" s="31"/>
      <c r="H11" s="4"/>
      <c r="I11" s="4"/>
      <c r="J11" s="4"/>
      <c r="K11" s="4"/>
      <c r="L11" s="4"/>
      <c r="M11" s="4"/>
    </row>
    <row r="12" customFormat="false" ht="18.75" hidden="false" customHeight="true" outlineLevel="0" collapsed="false">
      <c r="A12" s="75" t="str">
        <f aca="false">Master!$A$11</f>
        <v>Lainnya</v>
      </c>
      <c r="B12" s="77" t="n">
        <f aca="false">Dashboard!$C$16</f>
        <v>2000000</v>
      </c>
      <c r="C12" s="77" t="n">
        <f aca="false">Dashboard!$D$16</f>
        <v>10000000</v>
      </c>
      <c r="D12" s="77" t="n">
        <f aca="false">Dashboard!$E$16</f>
        <v>0</v>
      </c>
      <c r="E12" s="77" t="n">
        <f aca="false">Dashboard!$F$16</f>
        <v>12000000</v>
      </c>
      <c r="F12" s="109" t="n">
        <f aca="false">IF(B12+C12=0,0,D12/(B12+C12))</f>
        <v>0</v>
      </c>
      <c r="G12" s="31"/>
      <c r="H12" s="4"/>
      <c r="I12" s="4"/>
      <c r="J12" s="4"/>
      <c r="K12" s="4"/>
      <c r="L12" s="4"/>
      <c r="M12" s="4"/>
    </row>
    <row r="13" customFormat="false" ht="21.75" hidden="false" customHeight="true" outlineLevel="0" collapsed="false">
      <c r="A13" s="85" t="s">
        <v>184</v>
      </c>
      <c r="B13" s="86" t="n">
        <f aca="false">SUM(B6:B12)</f>
        <v>100000000</v>
      </c>
      <c r="C13" s="86" t="n">
        <f aca="false">SUM(C6:C12)</f>
        <v>244050000</v>
      </c>
      <c r="D13" s="86" t="n">
        <f aca="false">SUM(D6:D12)</f>
        <v>135235000</v>
      </c>
      <c r="E13" s="86" t="n">
        <f aca="false">SUM(E6:E12)</f>
        <v>208815000</v>
      </c>
      <c r="F13" s="113" t="n">
        <f aca="false">IF(B13+C13=0,0,D13/(B13+C13))</f>
        <v>0.393067868042436</v>
      </c>
      <c r="G13" s="31"/>
      <c r="H13" s="4"/>
      <c r="I13" s="4"/>
      <c r="J13" s="4"/>
      <c r="K13" s="4"/>
      <c r="L13" s="4"/>
      <c r="M13" s="4"/>
    </row>
    <row r="14" customFormat="false" ht="9.75" hidden="false" customHeight="true" outlineLevel="0" collapsed="false">
      <c r="A14" s="31"/>
      <c r="B14" s="31"/>
      <c r="C14" s="31"/>
      <c r="D14" s="31"/>
      <c r="E14" s="31"/>
      <c r="F14" s="31"/>
      <c r="G14" s="31"/>
      <c r="H14" s="4"/>
      <c r="I14" s="4"/>
      <c r="J14" s="4"/>
      <c r="K14" s="4"/>
      <c r="L14" s="4"/>
      <c r="M14" s="4"/>
    </row>
    <row r="15" customFormat="false" ht="21.75" hidden="false" customHeight="true" outlineLevel="0" collapsed="false">
      <c r="A15" s="7" t="s">
        <v>383</v>
      </c>
      <c r="B15" s="7"/>
      <c r="C15" s="7"/>
      <c r="D15" s="7"/>
      <c r="E15" s="7"/>
      <c r="F15" s="7"/>
      <c r="G15" s="7"/>
      <c r="H15" s="4"/>
      <c r="I15" s="4"/>
      <c r="J15" s="4"/>
      <c r="K15" s="4"/>
      <c r="L15" s="4"/>
      <c r="M15" s="4"/>
    </row>
    <row r="16" customFormat="false" ht="25.5" hidden="false" customHeight="true" outlineLevel="0" collapsed="false">
      <c r="A16" s="44" t="s">
        <v>128</v>
      </c>
      <c r="B16" s="56" t="s">
        <v>223</v>
      </c>
      <c r="C16" s="56" t="s">
        <v>224</v>
      </c>
      <c r="D16" s="56" t="s">
        <v>245</v>
      </c>
      <c r="E16" s="121"/>
      <c r="F16" s="121"/>
      <c r="G16" s="121"/>
      <c r="H16" s="4"/>
      <c r="I16" s="4"/>
      <c r="J16" s="4"/>
      <c r="K16" s="4"/>
      <c r="L16" s="4"/>
      <c r="M16" s="4"/>
    </row>
    <row r="17" customFormat="false" ht="18.75" hidden="false" customHeight="true" outlineLevel="0" collapsed="false">
      <c r="A17" s="75" t="str">
        <f aca="false">Master!$H$5</f>
        <v>Operasional Rutin</v>
      </c>
      <c r="B17" s="77" t="n">
        <f aca="false">SUMIFS(Penerimaan!$J$6:$J$400,Penerimaan!$F$6:$F$400,$A17)</f>
        <v>109980000</v>
      </c>
      <c r="C17" s="77" t="n">
        <f aca="false">SUMIFS(Pengeluaran!$J$6:$J$400,Pengeluaran!$F$6:$F$400,$A17)</f>
        <v>42835000</v>
      </c>
      <c r="D17" s="103" t="n">
        <f aca="false">B17-C17</f>
        <v>67145000</v>
      </c>
      <c r="E17" s="31"/>
      <c r="F17" s="31"/>
      <c r="G17" s="31"/>
      <c r="H17" s="4"/>
      <c r="I17" s="4"/>
      <c r="J17" s="4"/>
      <c r="K17" s="4"/>
      <c r="L17" s="4"/>
      <c r="M17" s="4"/>
    </row>
    <row r="18" customFormat="false" ht="18.75" hidden="false" customHeight="true" outlineLevel="0" collapsed="false">
      <c r="A18" s="80" t="str">
        <f aca="false">Master!$H$6</f>
        <v>Pembangunan Menara</v>
      </c>
      <c r="B18" s="82" t="n">
        <f aca="false">SUMIFS(Penerimaan!$J$6:$J$400,Penerimaan!$F$6:$F$400,$A18)</f>
        <v>45000000</v>
      </c>
      <c r="C18" s="82" t="n">
        <f aca="false">SUMIFS(Pengeluaran!$J$6:$J$400,Pengeluaran!$F$6:$F$400,$A18)</f>
        <v>37500000</v>
      </c>
      <c r="D18" s="105" t="n">
        <f aca="false">B18-C18</f>
        <v>7500000</v>
      </c>
      <c r="E18" s="31"/>
      <c r="F18" s="31"/>
      <c r="G18" s="31"/>
      <c r="H18" s="4"/>
      <c r="I18" s="4"/>
      <c r="J18" s="4"/>
      <c r="K18" s="4"/>
      <c r="L18" s="4"/>
      <c r="M18" s="4"/>
    </row>
    <row r="19" customFormat="false" ht="18.75" hidden="false" customHeight="true" outlineLevel="0" collapsed="false">
      <c r="A19" s="75" t="str">
        <f aca="false">Master!$H$7</f>
        <v>Renovasi Tempat Wudhu</v>
      </c>
      <c r="B19" s="77" t="n">
        <f aca="false">SUMIFS(Penerimaan!$J$6:$J$400,Penerimaan!$F$6:$F$400,$A19)</f>
        <v>7500000</v>
      </c>
      <c r="C19" s="77" t="n">
        <f aca="false">SUMIFS(Pengeluaran!$J$6:$J$400,Pengeluaran!$F$6:$F$400,$A19)</f>
        <v>6800000</v>
      </c>
      <c r="D19" s="103" t="n">
        <f aca="false">B19-C19</f>
        <v>700000</v>
      </c>
      <c r="E19" s="31"/>
      <c r="F19" s="31"/>
      <c r="G19" s="31"/>
      <c r="H19" s="4"/>
      <c r="I19" s="4"/>
      <c r="J19" s="4"/>
      <c r="K19" s="4"/>
      <c r="L19" s="4"/>
      <c r="M19" s="4"/>
    </row>
    <row r="20" customFormat="false" ht="18.75" hidden="false" customHeight="true" outlineLevel="0" collapsed="false">
      <c r="A20" s="80" t="str">
        <f aca="false">Master!$H$8</f>
        <v>Kajian Rutin</v>
      </c>
      <c r="B20" s="82" t="n">
        <f aca="false">SUMIFS(Penerimaan!$J$6:$J$400,Penerimaan!$F$6:$F$400,$A20)</f>
        <v>0</v>
      </c>
      <c r="C20" s="82" t="n">
        <f aca="false">SUMIFS(Pengeluaran!$J$6:$J$400,Pengeluaran!$F$6:$F$400,$A20)</f>
        <v>5100000</v>
      </c>
      <c r="D20" s="105" t="n">
        <f aca="false">B20-C20</f>
        <v>-5100000</v>
      </c>
      <c r="E20" s="31"/>
      <c r="F20" s="31"/>
      <c r="G20" s="31"/>
      <c r="H20" s="4"/>
      <c r="I20" s="4"/>
      <c r="J20" s="4"/>
      <c r="K20" s="4"/>
      <c r="L20" s="4"/>
      <c r="M20" s="4"/>
    </row>
    <row r="21" customFormat="false" ht="18.75" hidden="false" customHeight="true" outlineLevel="0" collapsed="false">
      <c r="A21" s="75" t="str">
        <f aca="false">Master!$H$9</f>
        <v>TPA Al-Hidayah</v>
      </c>
      <c r="B21" s="77" t="n">
        <f aca="false">SUMIFS(Penerimaan!$J$6:$J$400,Penerimaan!$F$6:$F$400,$A21)</f>
        <v>0</v>
      </c>
      <c r="C21" s="77" t="n">
        <f aca="false">SUMIFS(Pengeluaran!$J$6:$J$400,Pengeluaran!$F$6:$F$400,$A21)</f>
        <v>7200000</v>
      </c>
      <c r="D21" s="103" t="n">
        <f aca="false">B21-C21</f>
        <v>-7200000</v>
      </c>
      <c r="E21" s="31"/>
      <c r="F21" s="31"/>
      <c r="G21" s="31"/>
      <c r="H21" s="4"/>
      <c r="I21" s="4"/>
      <c r="J21" s="4"/>
      <c r="K21" s="4"/>
      <c r="L21" s="4"/>
      <c r="M21" s="4"/>
    </row>
    <row r="22" customFormat="false" ht="18.75" hidden="false" customHeight="true" outlineLevel="0" collapsed="false">
      <c r="A22" s="80" t="str">
        <f aca="false">Master!$H$10</f>
        <v>Santunan Yatim &amp; Dhuafa</v>
      </c>
      <c r="B22" s="82" t="n">
        <f aca="false">SUMIFS(Penerimaan!$J$6:$J$400,Penerimaan!$F$6:$F$400,$A22)</f>
        <v>0</v>
      </c>
      <c r="C22" s="82" t="n">
        <f aca="false">SUMIFS(Pengeluaran!$J$6:$J$400,Pengeluaran!$F$6:$F$400,$A22)</f>
        <v>5250000</v>
      </c>
      <c r="D22" s="105" t="n">
        <f aca="false">B22-C22</f>
        <v>-5250000</v>
      </c>
      <c r="E22" s="31"/>
      <c r="F22" s="31"/>
      <c r="G22" s="31"/>
      <c r="H22" s="4"/>
      <c r="I22" s="4"/>
      <c r="J22" s="4"/>
      <c r="K22" s="4"/>
      <c r="L22" s="4"/>
      <c r="M22" s="4"/>
    </row>
    <row r="23" customFormat="false" ht="18.75" hidden="false" customHeight="true" outlineLevel="0" collapsed="false">
      <c r="A23" s="75" t="str">
        <f aca="false">Master!$H$11</f>
        <v>Ramadan 1447 H</v>
      </c>
      <c r="B23" s="77" t="n">
        <f aca="false">SUMIFS(Penerimaan!$J$6:$J$400,Penerimaan!$F$6:$F$400,$A23)</f>
        <v>30060000</v>
      </c>
      <c r="C23" s="77" t="n">
        <f aca="false">SUMIFS(Pengeluaran!$J$6:$J$400,Pengeluaran!$F$6:$F$400,$A23)</f>
        <v>25050000</v>
      </c>
      <c r="D23" s="103" t="n">
        <f aca="false">B23-C23</f>
        <v>5010000</v>
      </c>
      <c r="E23" s="31"/>
      <c r="F23" s="31"/>
      <c r="G23" s="31"/>
      <c r="H23" s="4"/>
      <c r="I23" s="4"/>
      <c r="J23" s="4"/>
      <c r="K23" s="4"/>
      <c r="L23" s="4"/>
      <c r="M23" s="4"/>
    </row>
    <row r="24" customFormat="false" ht="18.75" hidden="false" customHeight="true" outlineLevel="0" collapsed="false">
      <c r="A24" s="80" t="str">
        <f aca="false">Master!$H$12</f>
        <v>Kurban 1447 H</v>
      </c>
      <c r="B24" s="82" t="n">
        <f aca="false">SUMIFS(Penerimaan!$J$6:$J$400,Penerimaan!$F$6:$F$400,$A24)</f>
        <v>24500000</v>
      </c>
      <c r="C24" s="82" t="n">
        <f aca="false">SUMIFS(Pengeluaran!$J$6:$J$400,Pengeluaran!$F$6:$F$400,$A24)</f>
        <v>0</v>
      </c>
      <c r="D24" s="105" t="n">
        <f aca="false">B24-C24</f>
        <v>24500000</v>
      </c>
      <c r="E24" s="31"/>
      <c r="F24" s="31"/>
      <c r="G24" s="31"/>
      <c r="H24" s="4"/>
      <c r="I24" s="4"/>
      <c r="J24" s="4"/>
      <c r="K24" s="4"/>
      <c r="L24" s="4"/>
      <c r="M24" s="4"/>
    </row>
    <row r="25" customFormat="false" ht="18.75" hidden="false" customHeight="true" outlineLevel="0" collapsed="false">
      <c r="A25" s="75" t="str">
        <f aca="false">Master!$H$13</f>
        <v>Umum</v>
      </c>
      <c r="B25" s="77" t="n">
        <f aca="false">SUMIFS(Penerimaan!$J$6:$J$400,Penerimaan!$F$6:$F$400,$A25)</f>
        <v>27010000</v>
      </c>
      <c r="C25" s="77" t="n">
        <f aca="false">SUMIFS(Pengeluaran!$J$6:$J$400,Pengeluaran!$F$6:$F$400,$A25)</f>
        <v>5500000</v>
      </c>
      <c r="D25" s="103" t="n">
        <f aca="false">B25-C25</f>
        <v>21510000</v>
      </c>
      <c r="E25" s="31"/>
      <c r="F25" s="31"/>
      <c r="G25" s="31"/>
      <c r="H25" s="4"/>
      <c r="I25" s="4"/>
      <c r="J25" s="4"/>
      <c r="K25" s="4"/>
      <c r="L25" s="4"/>
      <c r="M25" s="4"/>
    </row>
    <row r="26" customFormat="false" ht="21.75" hidden="false" customHeight="true" outlineLevel="0" collapsed="false">
      <c r="A26" s="85" t="s">
        <v>184</v>
      </c>
      <c r="B26" s="86" t="n">
        <f aca="false">SUM(B17:B25)</f>
        <v>244050000</v>
      </c>
      <c r="C26" s="86" t="n">
        <f aca="false">SUM(C17:C25)</f>
        <v>135235000</v>
      </c>
      <c r="D26" s="107" t="n">
        <f aca="false">SUM(D17:D25)</f>
        <v>108815000</v>
      </c>
      <c r="E26" s="31"/>
      <c r="F26" s="31"/>
      <c r="G26" s="31"/>
      <c r="H26" s="4"/>
      <c r="I26" s="4"/>
      <c r="J26" s="4"/>
      <c r="K26" s="4"/>
      <c r="L26" s="4"/>
      <c r="M26" s="4"/>
    </row>
    <row r="27" customFormat="false" ht="9.75" hidden="false" customHeight="true" outlineLevel="0" collapsed="false">
      <c r="A27" s="31"/>
      <c r="B27" s="31"/>
      <c r="C27" s="31"/>
      <c r="D27" s="31"/>
      <c r="E27" s="31"/>
      <c r="F27" s="31"/>
      <c r="G27" s="31"/>
      <c r="H27" s="4"/>
      <c r="I27" s="4"/>
      <c r="J27" s="4"/>
      <c r="K27" s="4"/>
      <c r="L27" s="4"/>
      <c r="M27" s="4"/>
    </row>
    <row r="28" customFormat="false" ht="21.75" hidden="false" customHeight="true" outlineLevel="0" collapsed="false">
      <c r="A28" s="7" t="s">
        <v>384</v>
      </c>
      <c r="B28" s="7"/>
      <c r="C28" s="7"/>
      <c r="D28" s="7"/>
      <c r="E28" s="7"/>
      <c r="F28" s="7"/>
      <c r="G28" s="7"/>
      <c r="H28" s="4"/>
      <c r="I28" s="4"/>
      <c r="J28" s="4"/>
      <c r="K28" s="4"/>
      <c r="L28" s="4"/>
      <c r="M28" s="4"/>
    </row>
    <row r="29" customFormat="false" ht="25.5" hidden="false" customHeight="true" outlineLevel="0" collapsed="false">
      <c r="A29" s="114" t="s">
        <v>385</v>
      </c>
      <c r="B29" s="148" t="s">
        <v>67</v>
      </c>
      <c r="C29" s="27" t="s">
        <v>386</v>
      </c>
      <c r="D29" s="27"/>
      <c r="E29" s="27"/>
      <c r="F29" s="27"/>
      <c r="G29" s="27"/>
      <c r="H29" s="4"/>
      <c r="I29" s="4"/>
      <c r="J29" s="4"/>
      <c r="K29" s="4"/>
      <c r="L29" s="4"/>
      <c r="M29" s="4"/>
    </row>
    <row r="30" customFormat="false" ht="7.5" hidden="false" customHeight="true" outlineLevel="0" collapsed="false">
      <c r="A30" s="31"/>
      <c r="B30" s="31"/>
      <c r="C30" s="31"/>
      <c r="D30" s="31"/>
      <c r="E30" s="31"/>
      <c r="F30" s="31"/>
      <c r="G30" s="31"/>
      <c r="H30" s="4"/>
      <c r="I30" s="4"/>
      <c r="J30" s="4"/>
      <c r="K30" s="4"/>
      <c r="L30" s="4"/>
      <c r="M30" s="4"/>
    </row>
    <row r="31" customFormat="false" ht="19.5" hidden="false" customHeight="true" outlineLevel="0" collapsed="false">
      <c r="A31" s="45" t="s">
        <v>222</v>
      </c>
      <c r="B31" s="149" t="n">
        <f aca="false">INDEX(Master!$E$25:$E$31,MATCH($B$29,Master!$A$5:$A$11,0))</f>
        <v>5000000</v>
      </c>
      <c r="C31" s="31"/>
      <c r="D31" s="31"/>
      <c r="E31" s="31"/>
      <c r="F31" s="31"/>
      <c r="G31" s="31"/>
      <c r="H31" s="4"/>
      <c r="I31" s="4"/>
      <c r="J31" s="4"/>
      <c r="K31" s="4"/>
      <c r="L31" s="4"/>
      <c r="M31" s="4"/>
    </row>
    <row r="32" customFormat="false" ht="19.5" hidden="false" customHeight="true" outlineLevel="0" collapsed="false">
      <c r="A32" s="47" t="s">
        <v>120</v>
      </c>
      <c r="B32" s="150" t="n">
        <f aca="false">SUMIFS(Penerimaan!$J$6:$J$400,Penerimaan!$D$6:$D$400,$B$29)</f>
        <v>23400000</v>
      </c>
      <c r="C32" s="31"/>
      <c r="D32" s="31"/>
      <c r="E32" s="31"/>
      <c r="F32" s="31"/>
      <c r="G32" s="31"/>
      <c r="H32" s="4"/>
      <c r="I32" s="4"/>
      <c r="J32" s="4"/>
      <c r="K32" s="4"/>
      <c r="L32" s="4"/>
      <c r="M32" s="4"/>
    </row>
    <row r="33" customFormat="false" ht="19.5" hidden="false" customHeight="true" outlineLevel="0" collapsed="false">
      <c r="A33" s="47" t="s">
        <v>387</v>
      </c>
      <c r="B33" s="150" t="n">
        <f aca="false">SUMIFS(Pengeluaran!$J$6:$J$400,Pengeluaran!$D$6:$D$400,$B$29)</f>
        <v>21700000</v>
      </c>
      <c r="C33" s="31"/>
      <c r="D33" s="31"/>
      <c r="E33" s="31"/>
      <c r="F33" s="31"/>
      <c r="G33" s="31"/>
      <c r="H33" s="4"/>
      <c r="I33" s="4"/>
      <c r="J33" s="4"/>
      <c r="K33" s="4"/>
      <c r="L33" s="4"/>
      <c r="M33" s="4"/>
    </row>
    <row r="34" customFormat="false" ht="19.5" hidden="false" customHeight="true" outlineLevel="0" collapsed="false">
      <c r="A34" s="151" t="s">
        <v>225</v>
      </c>
      <c r="B34" s="152" t="n">
        <f aca="false">B31+B32-B33</f>
        <v>6700000</v>
      </c>
      <c r="C34" s="31"/>
      <c r="D34" s="31"/>
      <c r="E34" s="31"/>
      <c r="F34" s="31"/>
      <c r="G34" s="31"/>
      <c r="H34" s="4"/>
      <c r="I34" s="4"/>
      <c r="J34" s="4"/>
      <c r="K34" s="4"/>
      <c r="L34" s="4"/>
      <c r="M34" s="4"/>
    </row>
    <row r="35" customFormat="false" ht="9.75" hidden="false" customHeight="true" outlineLevel="0" collapsed="false">
      <c r="A35" s="31"/>
      <c r="B35" s="31"/>
      <c r="C35" s="31"/>
      <c r="D35" s="31"/>
      <c r="E35" s="31"/>
      <c r="F35" s="31"/>
      <c r="G35" s="31"/>
      <c r="H35" s="4"/>
      <c r="I35" s="4"/>
      <c r="J35" s="4"/>
      <c r="K35" s="4"/>
      <c r="L35" s="4"/>
      <c r="M35" s="4"/>
    </row>
    <row r="36" customFormat="false" ht="25.5" hidden="false" customHeight="true" outlineLevel="0" collapsed="false">
      <c r="A36" s="44" t="s">
        <v>388</v>
      </c>
      <c r="B36" s="56" t="s">
        <v>241</v>
      </c>
      <c r="C36" s="121"/>
      <c r="D36" s="121"/>
      <c r="E36" s="121"/>
      <c r="F36" s="121"/>
      <c r="G36" s="121"/>
      <c r="H36" s="4"/>
      <c r="I36" s="4"/>
      <c r="J36" s="4"/>
      <c r="K36" s="4"/>
      <c r="L36" s="4"/>
      <c r="M36" s="4"/>
    </row>
    <row r="37" customFormat="false" ht="18" hidden="false" customHeight="true" outlineLevel="0" collapsed="false">
      <c r="A37" s="75" t="str">
        <f aca="false">Master!$F$5</f>
        <v>Listrik &amp; Air</v>
      </c>
      <c r="B37" s="103" t="n">
        <f aca="false">SUMIFS(Pengeluaran!$J$6:$J$400,Pengeluaran!$D$6:$D$400,$B$29,Pengeluaran!$E$6:$E$400,$A37)</f>
        <v>0</v>
      </c>
      <c r="C37" s="31"/>
      <c r="D37" s="31"/>
      <c r="E37" s="31"/>
      <c r="F37" s="31"/>
      <c r="G37" s="31"/>
      <c r="H37" s="4"/>
      <c r="I37" s="4"/>
      <c r="J37" s="4"/>
      <c r="K37" s="4"/>
      <c r="L37" s="4"/>
      <c r="M37" s="4"/>
    </row>
    <row r="38" customFormat="false" ht="18" hidden="false" customHeight="true" outlineLevel="0" collapsed="false">
      <c r="A38" s="80" t="str">
        <f aca="false">Master!$F$6</f>
        <v>Kebersihan &amp; Keamanan</v>
      </c>
      <c r="B38" s="105" t="n">
        <f aca="false">SUMIFS(Pengeluaran!$J$6:$J$400,Pengeluaran!$D$6:$D$400,$B$29,Pengeluaran!$E$6:$E$400,$A38)</f>
        <v>0</v>
      </c>
      <c r="C38" s="31"/>
      <c r="D38" s="31"/>
      <c r="E38" s="31"/>
      <c r="F38" s="31"/>
      <c r="G38" s="31"/>
      <c r="H38" s="4"/>
      <c r="I38" s="4"/>
      <c r="J38" s="4"/>
      <c r="K38" s="4"/>
      <c r="L38" s="4"/>
      <c r="M38" s="4"/>
    </row>
    <row r="39" customFormat="false" ht="18" hidden="false" customHeight="true" outlineLevel="0" collapsed="false">
      <c r="A39" s="75" t="str">
        <f aca="false">Master!$F$7</f>
        <v>Honorarium</v>
      </c>
      <c r="B39" s="103" t="n">
        <f aca="false">SUMIFS(Pengeluaran!$J$6:$J$400,Pengeluaran!$D$6:$D$400,$B$29,Pengeluaran!$E$6:$E$400,$A39)</f>
        <v>0</v>
      </c>
      <c r="C39" s="31"/>
      <c r="D39" s="31"/>
      <c r="E39" s="31"/>
      <c r="F39" s="31"/>
      <c r="G39" s="31"/>
      <c r="H39" s="4"/>
      <c r="I39" s="4"/>
      <c r="J39" s="4"/>
      <c r="K39" s="4"/>
      <c r="L39" s="4"/>
      <c r="M39" s="4"/>
    </row>
    <row r="40" customFormat="false" ht="18" hidden="false" customHeight="true" outlineLevel="0" collapsed="false">
      <c r="A40" s="80" t="str">
        <f aca="false">Master!$F$8</f>
        <v>Kegiatan Dakwah</v>
      </c>
      <c r="B40" s="105" t="n">
        <f aca="false">SUMIFS(Pengeluaran!$J$6:$J$400,Pengeluaran!$D$6:$D$400,$B$29,Pengeluaran!$E$6:$E$400,$A40)</f>
        <v>0</v>
      </c>
      <c r="C40" s="31"/>
      <c r="D40" s="31"/>
      <c r="E40" s="31"/>
      <c r="F40" s="31"/>
      <c r="G40" s="31"/>
      <c r="H40" s="4"/>
      <c r="I40" s="4"/>
      <c r="J40" s="4"/>
      <c r="K40" s="4"/>
      <c r="L40" s="4"/>
      <c r="M40" s="4"/>
    </row>
    <row r="41" customFormat="false" ht="18" hidden="false" customHeight="true" outlineLevel="0" collapsed="false">
      <c r="A41" s="75" t="str">
        <f aca="false">Master!$F$9</f>
        <v>Pendidikan (TPA)</v>
      </c>
      <c r="B41" s="103" t="n">
        <f aca="false">SUMIFS(Pengeluaran!$J$6:$J$400,Pengeluaran!$D$6:$D$400,$B$29,Pengeluaran!$E$6:$E$400,$A41)</f>
        <v>0</v>
      </c>
      <c r="C41" s="31"/>
      <c r="D41" s="31"/>
      <c r="E41" s="31"/>
      <c r="F41" s="31"/>
      <c r="G41" s="31"/>
      <c r="H41" s="4"/>
      <c r="I41" s="4"/>
      <c r="J41" s="4"/>
      <c r="K41" s="4"/>
      <c r="L41" s="4"/>
      <c r="M41" s="4"/>
    </row>
    <row r="42" customFormat="false" ht="18" hidden="false" customHeight="true" outlineLevel="0" collapsed="false">
      <c r="A42" s="80" t="str">
        <f aca="false">Master!$F$10</f>
        <v>Sosial &amp; Santunan</v>
      </c>
      <c r="B42" s="105" t="n">
        <f aca="false">SUMIFS(Pengeluaran!$J$6:$J$400,Pengeluaran!$D$6:$D$400,$B$29,Pengeluaran!$E$6:$E$400,$A42)</f>
        <v>21700000</v>
      </c>
      <c r="C42" s="31"/>
      <c r="D42" s="31"/>
      <c r="E42" s="31"/>
      <c r="F42" s="31"/>
      <c r="G42" s="31"/>
      <c r="H42" s="4"/>
      <c r="I42" s="4"/>
      <c r="J42" s="4"/>
      <c r="K42" s="4"/>
      <c r="L42" s="4"/>
      <c r="M42" s="4"/>
    </row>
    <row r="43" customFormat="false" ht="18" hidden="false" customHeight="true" outlineLevel="0" collapsed="false">
      <c r="A43" s="75" t="str">
        <f aca="false">Master!$F$11</f>
        <v>Ramadan</v>
      </c>
      <c r="B43" s="103" t="n">
        <f aca="false">SUMIFS(Pengeluaran!$J$6:$J$400,Pengeluaran!$D$6:$D$400,$B$29,Pengeluaran!$E$6:$E$400,$A43)</f>
        <v>0</v>
      </c>
      <c r="C43" s="31"/>
      <c r="D43" s="31"/>
      <c r="E43" s="31"/>
      <c r="F43" s="31"/>
      <c r="G43" s="31"/>
      <c r="H43" s="4"/>
      <c r="I43" s="4"/>
      <c r="J43" s="4"/>
      <c r="K43" s="4"/>
      <c r="L43" s="4"/>
      <c r="M43" s="4"/>
    </row>
    <row r="44" customFormat="false" ht="18" hidden="false" customHeight="true" outlineLevel="0" collapsed="false">
      <c r="A44" s="80" t="str">
        <f aca="false">Master!$F$12</f>
        <v>Kurban</v>
      </c>
      <c r="B44" s="105" t="n">
        <f aca="false">SUMIFS(Pengeluaran!$J$6:$J$400,Pengeluaran!$D$6:$D$400,$B$29,Pengeluaran!$E$6:$E$400,$A44)</f>
        <v>0</v>
      </c>
      <c r="C44" s="31"/>
      <c r="D44" s="31"/>
      <c r="E44" s="31"/>
      <c r="F44" s="31"/>
      <c r="G44" s="31"/>
      <c r="H44" s="4"/>
      <c r="I44" s="4"/>
      <c r="J44" s="4"/>
      <c r="K44" s="4"/>
      <c r="L44" s="4"/>
      <c r="M44" s="4"/>
    </row>
    <row r="45" customFormat="false" ht="18" hidden="false" customHeight="true" outlineLevel="0" collapsed="false">
      <c r="A45" s="75" t="str">
        <f aca="false">Master!$F$13</f>
        <v>Pembangunan</v>
      </c>
      <c r="B45" s="103" t="n">
        <f aca="false">SUMIFS(Pengeluaran!$J$6:$J$400,Pengeluaran!$D$6:$D$400,$B$29,Pengeluaran!$E$6:$E$400,$A45)</f>
        <v>0</v>
      </c>
      <c r="C45" s="31"/>
      <c r="D45" s="31"/>
      <c r="E45" s="31"/>
      <c r="F45" s="31"/>
      <c r="G45" s="31"/>
      <c r="H45" s="4"/>
      <c r="I45" s="4"/>
      <c r="J45" s="4"/>
      <c r="K45" s="4"/>
      <c r="L45" s="4"/>
      <c r="M45" s="4"/>
    </row>
    <row r="46" customFormat="false" ht="18" hidden="false" customHeight="true" outlineLevel="0" collapsed="false">
      <c r="A46" s="80" t="str">
        <f aca="false">Master!$F$14</f>
        <v>Pemeliharaan</v>
      </c>
      <c r="B46" s="105" t="n">
        <f aca="false">SUMIFS(Pengeluaran!$J$6:$J$400,Pengeluaran!$D$6:$D$400,$B$29,Pengeluaran!$E$6:$E$400,$A46)</f>
        <v>0</v>
      </c>
      <c r="C46" s="31"/>
      <c r="D46" s="31"/>
      <c r="E46" s="31"/>
      <c r="F46" s="31"/>
      <c r="G46" s="31"/>
      <c r="H46" s="4"/>
      <c r="I46" s="4"/>
      <c r="J46" s="4"/>
      <c r="K46" s="4"/>
      <c r="L46" s="4"/>
      <c r="M46" s="4"/>
    </row>
    <row r="47" customFormat="false" ht="18" hidden="false" customHeight="true" outlineLevel="0" collapsed="false">
      <c r="A47" s="75" t="str">
        <f aca="false">Master!$F$15</f>
        <v>Pembelian Aset</v>
      </c>
      <c r="B47" s="103" t="n">
        <f aca="false">SUMIFS(Pengeluaran!$J$6:$J$400,Pengeluaran!$D$6:$D$400,$B$29,Pengeluaran!$E$6:$E$400,$A47)</f>
        <v>0</v>
      </c>
      <c r="C47" s="31"/>
      <c r="D47" s="31"/>
      <c r="E47" s="31"/>
      <c r="F47" s="31"/>
      <c r="G47" s="31"/>
      <c r="H47" s="4"/>
      <c r="I47" s="4"/>
      <c r="J47" s="4"/>
      <c r="K47" s="4"/>
      <c r="L47" s="4"/>
      <c r="M47" s="4"/>
    </row>
    <row r="48" customFormat="false" ht="18" hidden="false" customHeight="true" outlineLevel="0" collapsed="false">
      <c r="A48" s="80" t="str">
        <f aca="false">Master!$F$16</f>
        <v>Administrasi &amp; Umum</v>
      </c>
      <c r="B48" s="105" t="n">
        <f aca="false">SUMIFS(Pengeluaran!$J$6:$J$400,Pengeluaran!$D$6:$D$400,$B$29,Pengeluaran!$E$6:$E$400,$A48)</f>
        <v>0</v>
      </c>
      <c r="C48" s="31"/>
      <c r="D48" s="31"/>
      <c r="E48" s="31"/>
      <c r="F48" s="31"/>
      <c r="G48" s="31"/>
      <c r="H48" s="4"/>
      <c r="I48" s="4"/>
      <c r="J48" s="4"/>
      <c r="K48" s="4"/>
      <c r="L48" s="4"/>
      <c r="M48" s="4"/>
    </row>
    <row r="49" customFormat="false" ht="9.75" hidden="false" customHeight="true" outlineLevel="0" collapsed="false">
      <c r="A49" s="31"/>
      <c r="B49" s="31"/>
      <c r="C49" s="31"/>
      <c r="D49" s="31"/>
      <c r="E49" s="31"/>
      <c r="F49" s="31"/>
      <c r="G49" s="31"/>
      <c r="H49" s="4"/>
      <c r="I49" s="4"/>
      <c r="J49" s="4"/>
      <c r="K49" s="4"/>
      <c r="L49" s="4"/>
      <c r="M49" s="4"/>
    </row>
    <row r="50" customFormat="false" ht="14.25" hidden="false" customHeight="true" outlineLevel="0" collapsed="false">
      <c r="A50" s="27" t="s">
        <v>389</v>
      </c>
      <c r="B50" s="27"/>
      <c r="C50" s="27"/>
      <c r="D50" s="27"/>
      <c r="E50" s="27"/>
      <c r="F50" s="27"/>
      <c r="G50" s="27"/>
      <c r="H50" s="4"/>
      <c r="I50" s="4"/>
      <c r="J50" s="4"/>
      <c r="K50" s="4"/>
      <c r="L50" s="4"/>
      <c r="M50" s="4"/>
    </row>
    <row r="51" customFormat="false" ht="14.25" hidden="false" customHeight="false" outlineLevel="0" collapsed="false">
      <c r="A51" s="31"/>
      <c r="B51" s="31"/>
      <c r="C51" s="31"/>
      <c r="D51" s="31"/>
      <c r="E51" s="31"/>
      <c r="F51" s="31"/>
      <c r="G51" s="31"/>
      <c r="H51" s="4"/>
      <c r="I51" s="4"/>
      <c r="J51" s="4"/>
      <c r="K51" s="4"/>
      <c r="L51" s="4"/>
      <c r="M51" s="4"/>
    </row>
    <row r="52" customFormat="false" ht="14.2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8">
    <mergeCell ref="A1:E1"/>
    <mergeCell ref="F1:G1"/>
    <mergeCell ref="A2:G2"/>
    <mergeCell ref="A4:G4"/>
    <mergeCell ref="A15:G15"/>
    <mergeCell ref="A28:G28"/>
    <mergeCell ref="C29:G29"/>
    <mergeCell ref="A50:G50"/>
  </mergeCells>
  <conditionalFormatting sqref="F6:F12">
    <cfRule type="dataBar" priority="2">
      <dataBar showValue="1" minLength="10" maxLength="90">
        <cfvo type="num" val="0"/>
        <cfvo type="num" val="1"/>
        <color rgb="FFC9A227"/>
      </dataBar>
      <extLst>
        <ext xmlns:x14="http://schemas.microsoft.com/office/spreadsheetml/2009/9/main" uri="{B025F937-C7B1-47D3-B67F-A62EFF666E3E}">
          <x14:id>{1B4FD989-D09C-4BF6-BEC6-E36E900040D0}</x14:id>
        </ext>
      </extLst>
    </cfRule>
  </conditionalFormatting>
  <conditionalFormatting sqref="D17:D25">
    <cfRule type="cellIs" priority="3" operator="lessThan" aboveAverage="0" equalAverage="0" bottom="0" percent="0" rank="0" text="" dxfId="9">
      <formula>0</formula>
    </cfRule>
  </conditionalFormatting>
  <conditionalFormatting sqref="B37:B48">
    <cfRule type="dataBar" priority="4">
      <dataBar showValue="1" minLength="10" maxLength="90">
        <cfvo type="num" val="0"/>
        <cfvo type="max" val="0"/>
        <color rgb="FF11543C"/>
      </dataBar>
      <extLst>
        <ext xmlns:x14="http://schemas.microsoft.com/office/spreadsheetml/2009/9/main" uri="{B025F937-C7B1-47D3-B67F-A62EFF666E3E}">
          <x14:id>{4BBDC5BA-7EA5-496B-A32E-48006B85E1E3}</x14:id>
        </ext>
      </extLst>
    </cfRule>
  </conditionalFormatting>
  <dataValidations count="1">
    <dataValidation allowBlank="false" errorStyle="stop" operator="between" showDropDown="false" showErrorMessage="false" showInputMessage="false" sqref="B29" type="list">
      <formula1>JenisDana</formula1>
      <formula2>0</formula2>
    </dataValidation>
  </dataValidations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4FD989-D09C-4BF6-BEC6-E36E900040D0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C9A227"/>
              <x14:axisColor rgb="FF000000"/>
            </x14:dataBar>
          </x14:cfRule>
          <xm:sqref>F6:F12</xm:sqref>
        </x14:conditionalFormatting>
        <x14:conditionalFormatting xmlns:xm="http://schemas.microsoft.com/office/excel/2006/main">
          <x14:cfRule type="dataBar" id="{4BBDC5BA-7EA5-496B-A32E-48006B85E1E3}">
            <x14:dataBar minLength="10" maxLength="90" axisPosition="none" gradient="true">
              <x14:cfvo type="num">
                <xm:f>0</xm:f>
              </x14:cfvo>
              <x14:cfvo type="max"/>
              <x14:negativeFillColor rgb="FF11543C"/>
              <x14:axisColor rgb="FF000000"/>
            </x14:dataBar>
          </x14:cfRule>
          <xm:sqref>B37:B48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N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4" min="3" style="0" width="20"/>
    <col collapsed="false" customWidth="true" hidden="false" outlineLevel="0" max="5" min="5" style="0" width="16"/>
    <col collapsed="false" customWidth="true" hidden="false" outlineLevel="0" max="6" min="6" style="0" width="2.4"/>
  </cols>
  <sheetData>
    <row r="1" customFormat="false" ht="33.75" hidden="false" customHeight="true" outlineLevel="0" collapsed="false">
      <c r="A1" s="2" t="s">
        <v>390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8" t="str">
        <f aca="false">HYPERLINK("#Beranda!A1","⌂  Beranda")</f>
        <v>⌂  Beranda</v>
      </c>
      <c r="N1" s="28"/>
    </row>
    <row r="2" customFormat="false" ht="15.75" hidden="false" customHeight="true" outlineLevel="0" collapsed="false">
      <c r="A2" s="5" t="s">
        <v>391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16"/>
      <c r="N3" s="116"/>
    </row>
    <row r="4" customFormat="false" ht="25.5" hidden="false" customHeight="true" outlineLevel="0" collapsed="false">
      <c r="A4" s="44" t="s">
        <v>129</v>
      </c>
      <c r="B4" s="56" t="s">
        <v>121</v>
      </c>
      <c r="C4" s="56" t="s">
        <v>392</v>
      </c>
      <c r="D4" s="56" t="s">
        <v>393</v>
      </c>
      <c r="E4" s="56" t="s">
        <v>242</v>
      </c>
      <c r="F4" s="121"/>
      <c r="G4" s="31"/>
      <c r="H4" s="31"/>
      <c r="I4" s="31"/>
      <c r="J4" s="31"/>
      <c r="K4" s="31"/>
      <c r="L4" s="31"/>
      <c r="M4" s="117"/>
      <c r="N4" s="117"/>
    </row>
    <row r="5" customFormat="false" ht="18.75" hidden="false" customHeight="true" outlineLevel="0" collapsed="false">
      <c r="A5" s="75" t="str">
        <f aca="false">Master!$N$5</f>
        <v>Hamba Allah</v>
      </c>
      <c r="B5" s="153" t="n">
        <f aca="false">COUNTIFS(Penerimaan!$G$6:$G$400,$A5)</f>
        <v>6</v>
      </c>
      <c r="C5" s="77" t="n">
        <f aca="false">SUMIFS(Penerimaan!$J$6:$J$400,Penerimaan!$G$6:$G$400,$A5)</f>
        <v>5760000</v>
      </c>
      <c r="D5" s="77" t="n">
        <f aca="false">IF(B5=0,0,C5/B5)</f>
        <v>960000</v>
      </c>
      <c r="E5" s="109" t="n">
        <f aca="false">IF($C$15=0,0,C5/$C$15)</f>
        <v>0.0236017209588199</v>
      </c>
      <c r="F5" s="31"/>
      <c r="G5" s="31"/>
      <c r="H5" s="31"/>
      <c r="I5" s="31"/>
      <c r="J5" s="31"/>
      <c r="K5" s="31"/>
      <c r="L5" s="31"/>
      <c r="M5" s="117"/>
      <c r="N5" s="117"/>
    </row>
    <row r="6" customFormat="false" ht="18.75" hidden="false" customHeight="true" outlineLevel="0" collapsed="false">
      <c r="A6" s="80" t="str">
        <f aca="false">Master!$N$6</f>
        <v>H. Abdullah Rahman</v>
      </c>
      <c r="B6" s="154" t="n">
        <f aca="false">COUNTIFS(Penerimaan!$G$6:$G$400,$A6)</f>
        <v>6</v>
      </c>
      <c r="C6" s="82" t="n">
        <f aca="false">SUMIFS(Penerimaan!$J$6:$J$400,Penerimaan!$G$6:$G$400,$A6)</f>
        <v>30000000</v>
      </c>
      <c r="D6" s="82" t="n">
        <f aca="false">IF(B6=0,0,C6/B6)</f>
        <v>5000000</v>
      </c>
      <c r="E6" s="112" t="n">
        <f aca="false">IF($C$15=0,0,C6/$C$15)</f>
        <v>0.122925629993854</v>
      </c>
      <c r="F6" s="31"/>
      <c r="G6" s="31"/>
      <c r="H6" s="31"/>
      <c r="I6" s="31"/>
      <c r="J6" s="31"/>
      <c r="K6" s="31"/>
      <c r="L6" s="31"/>
      <c r="M6" s="117"/>
      <c r="N6" s="117"/>
    </row>
    <row r="7" customFormat="false" ht="18.75" hidden="false" customHeight="true" outlineLevel="0" collapsed="false">
      <c r="A7" s="75" t="str">
        <f aca="false">Master!$N$7</f>
        <v>Hj. Siti Maryam</v>
      </c>
      <c r="B7" s="153" t="n">
        <f aca="false">COUNTIFS(Penerimaan!$G$6:$G$400,$A7)</f>
        <v>1</v>
      </c>
      <c r="C7" s="77" t="n">
        <f aca="false">SUMIFS(Penerimaan!$J$6:$J$400,Penerimaan!$G$6:$G$400,$A7)</f>
        <v>7500000</v>
      </c>
      <c r="D7" s="77" t="n">
        <f aca="false">IF(B7=0,0,C7/B7)</f>
        <v>7500000</v>
      </c>
      <c r="E7" s="109" t="n">
        <f aca="false">IF($C$15=0,0,C7/$C$15)</f>
        <v>0.0307314074984634</v>
      </c>
      <c r="F7" s="31"/>
      <c r="G7" s="31"/>
      <c r="H7" s="31"/>
      <c r="I7" s="31"/>
      <c r="J7" s="31"/>
      <c r="K7" s="31"/>
      <c r="L7" s="31"/>
      <c r="M7" s="117"/>
      <c r="N7" s="117"/>
    </row>
    <row r="8" customFormat="false" ht="18.75" hidden="false" customHeight="true" outlineLevel="0" collapsed="false">
      <c r="A8" s="80" t="str">
        <f aca="false">Master!$N$8</f>
        <v>Bpk. Ahmad Fauzi</v>
      </c>
      <c r="B8" s="154" t="n">
        <f aca="false">COUNTIFS(Penerimaan!$G$6:$G$400,$A8)</f>
        <v>1</v>
      </c>
      <c r="C8" s="82" t="n">
        <f aca="false">SUMIFS(Penerimaan!$J$6:$J$400,Penerimaan!$G$6:$G$400,$A8)</f>
        <v>6250000</v>
      </c>
      <c r="D8" s="82" t="n">
        <f aca="false">IF(B8=0,0,C8/B8)</f>
        <v>6250000</v>
      </c>
      <c r="E8" s="112" t="n">
        <f aca="false">IF($C$15=0,0,C8/$C$15)</f>
        <v>0.0256095062487195</v>
      </c>
      <c r="F8" s="31"/>
      <c r="G8" s="31"/>
      <c r="H8" s="31"/>
      <c r="I8" s="31"/>
      <c r="J8" s="31"/>
      <c r="K8" s="31"/>
      <c r="L8" s="31"/>
      <c r="M8" s="117"/>
      <c r="N8" s="117"/>
    </row>
    <row r="9" customFormat="false" ht="18.75" hidden="false" customHeight="true" outlineLevel="0" collapsed="false">
      <c r="A9" s="75" t="str">
        <f aca="false">Master!$N$9</f>
        <v>Ibu Fatimah Azzahra</v>
      </c>
      <c r="B9" s="153" t="n">
        <f aca="false">COUNTIFS(Penerimaan!$G$6:$G$400,$A9)</f>
        <v>1</v>
      </c>
      <c r="C9" s="77" t="n">
        <f aca="false">SUMIFS(Penerimaan!$J$6:$J$400,Penerimaan!$G$6:$G$400,$A9)</f>
        <v>21000000</v>
      </c>
      <c r="D9" s="77" t="n">
        <f aca="false">IF(B9=0,0,C9/B9)</f>
        <v>21000000</v>
      </c>
      <c r="E9" s="109" t="n">
        <f aca="false">IF($C$15=0,0,C9/$C$15)</f>
        <v>0.0860479409956976</v>
      </c>
      <c r="F9" s="31"/>
      <c r="G9" s="31"/>
      <c r="H9" s="31"/>
      <c r="I9" s="31"/>
      <c r="J9" s="31"/>
      <c r="K9" s="31"/>
      <c r="L9" s="31"/>
      <c r="M9" s="117"/>
      <c r="N9" s="117"/>
    </row>
    <row r="10" customFormat="false" ht="18.75" hidden="false" customHeight="true" outlineLevel="0" collapsed="false">
      <c r="A10" s="80" t="str">
        <f aca="false">Master!$N$10</f>
        <v>PT Berkah Amanah</v>
      </c>
      <c r="B10" s="154" t="n">
        <f aca="false">COUNTIFS(Penerimaan!$G$6:$G$400,$A10)</f>
        <v>7</v>
      </c>
      <c r="C10" s="82" t="n">
        <f aca="false">SUMIFS(Penerimaan!$J$6:$J$400,Penerimaan!$G$6:$G$400,$A10)</f>
        <v>19000000</v>
      </c>
      <c r="D10" s="82" t="n">
        <f aca="false">IF(B10=0,0,C10/B10)</f>
        <v>2714285.71428571</v>
      </c>
      <c r="E10" s="112" t="n">
        <f aca="false">IF($C$15=0,0,C10/$C$15)</f>
        <v>0.0778528989961074</v>
      </c>
      <c r="F10" s="31"/>
      <c r="G10" s="31"/>
      <c r="H10" s="31"/>
      <c r="I10" s="31"/>
      <c r="J10" s="31"/>
      <c r="K10" s="31"/>
      <c r="L10" s="31"/>
      <c r="M10" s="117"/>
      <c r="N10" s="117"/>
    </row>
    <row r="11" customFormat="false" ht="18.75" hidden="false" customHeight="true" outlineLevel="0" collapsed="false">
      <c r="A11" s="75" t="str">
        <f aca="false">Master!$N$11</f>
        <v>Bpk. Muhammad Ridwan</v>
      </c>
      <c r="B11" s="153" t="n">
        <f aca="false">COUNTIFS(Penerimaan!$G$6:$G$400,$A11)</f>
        <v>1</v>
      </c>
      <c r="C11" s="77" t="n">
        <f aca="false">SUMIFS(Penerimaan!$J$6:$J$400,Penerimaan!$G$6:$G$400,$A11)</f>
        <v>3500000</v>
      </c>
      <c r="D11" s="77" t="n">
        <f aca="false">IF(B11=0,0,C11/B11)</f>
        <v>3500000</v>
      </c>
      <c r="E11" s="109" t="n">
        <f aca="false">IF($C$15=0,0,C11/$C$15)</f>
        <v>0.0143413234992829</v>
      </c>
      <c r="F11" s="31"/>
      <c r="G11" s="31"/>
      <c r="H11" s="31"/>
      <c r="I11" s="31"/>
      <c r="J11" s="31"/>
      <c r="K11" s="31"/>
      <c r="L11" s="31"/>
      <c r="M11" s="117"/>
      <c r="N11" s="117"/>
    </row>
    <row r="12" customFormat="false" ht="18.75" hidden="false" customHeight="true" outlineLevel="0" collapsed="false">
      <c r="A12" s="80" t="str">
        <f aca="false">Master!$N$12</f>
        <v>Ibu Khadijah</v>
      </c>
      <c r="B12" s="154" t="n">
        <f aca="false">COUNTIFS(Penerimaan!$G$6:$G$400,$A12)</f>
        <v>1</v>
      </c>
      <c r="C12" s="82" t="n">
        <f aca="false">SUMIFS(Penerimaan!$J$6:$J$400,Penerimaan!$G$6:$G$400,$A12)</f>
        <v>5000000</v>
      </c>
      <c r="D12" s="82" t="n">
        <f aca="false">IF(B12=0,0,C12/B12)</f>
        <v>5000000</v>
      </c>
      <c r="E12" s="112" t="n">
        <f aca="false">IF($C$15=0,0,C12/$C$15)</f>
        <v>0.0204876049989756</v>
      </c>
      <c r="F12" s="31"/>
      <c r="G12" s="31"/>
      <c r="H12" s="31"/>
      <c r="I12" s="31"/>
      <c r="J12" s="31"/>
      <c r="K12" s="31"/>
      <c r="L12" s="31"/>
      <c r="M12" s="117"/>
      <c r="N12" s="117"/>
    </row>
    <row r="13" customFormat="false" ht="18.75" hidden="false" customHeight="true" outlineLevel="0" collapsed="false">
      <c r="A13" s="75" t="str">
        <f aca="false">Master!$N$13</f>
        <v>Keluarga Alm. H. Usman</v>
      </c>
      <c r="B13" s="153" t="n">
        <f aca="false">COUNTIFS(Penerimaan!$G$6:$G$400,$A13)</f>
        <v>1</v>
      </c>
      <c r="C13" s="77" t="n">
        <f aca="false">SUMIFS(Penerimaan!$J$6:$J$400,Penerimaan!$G$6:$G$400,$A13)</f>
        <v>15000000</v>
      </c>
      <c r="D13" s="77" t="n">
        <f aca="false">IF(B13=0,0,C13/B13)</f>
        <v>15000000</v>
      </c>
      <c r="E13" s="109" t="n">
        <f aca="false">IF($C$15=0,0,C13/$C$15)</f>
        <v>0.0614628149969269</v>
      </c>
      <c r="F13" s="31"/>
      <c r="G13" s="31"/>
      <c r="H13" s="31"/>
      <c r="I13" s="31"/>
      <c r="J13" s="31"/>
      <c r="K13" s="31"/>
      <c r="L13" s="31"/>
      <c r="M13" s="117"/>
      <c r="N13" s="117"/>
    </row>
    <row r="14" customFormat="false" ht="18.75" hidden="false" customHeight="true" outlineLevel="0" collapsed="false">
      <c r="A14" s="80" t="str">
        <f aca="false">Master!$N$14</f>
        <v>Jamaah Masjid</v>
      </c>
      <c r="B14" s="154" t="n">
        <f aca="false">COUNTIFS(Penerimaan!$G$6:$G$400,$A14)</f>
        <v>38</v>
      </c>
      <c r="C14" s="82" t="n">
        <f aca="false">SUMIFS(Penerimaan!$J$6:$J$400,Penerimaan!$G$6:$G$400,$A14)</f>
        <v>131040000</v>
      </c>
      <c r="D14" s="82" t="n">
        <f aca="false">IF(B14=0,0,C14/B14)</f>
        <v>3448421.05263158</v>
      </c>
      <c r="E14" s="112" t="n">
        <f aca="false">IF($C$15=0,0,C14/$C$15)</f>
        <v>0.536939151813153</v>
      </c>
      <c r="F14" s="31"/>
      <c r="G14" s="31"/>
      <c r="H14" s="31"/>
      <c r="I14" s="31"/>
      <c r="J14" s="31"/>
      <c r="K14" s="31"/>
      <c r="L14" s="31"/>
      <c r="M14" s="117"/>
      <c r="N14" s="117"/>
    </row>
    <row r="15" customFormat="false" ht="21.75" hidden="false" customHeight="true" outlineLevel="0" collapsed="false">
      <c r="A15" s="85" t="s">
        <v>184</v>
      </c>
      <c r="B15" s="155" t="n">
        <f aca="false">SUM(B5:B14)</f>
        <v>63</v>
      </c>
      <c r="C15" s="86" t="n">
        <f aca="false">SUM(C5:C14)</f>
        <v>244050000</v>
      </c>
      <c r="D15" s="86" t="n">
        <f aca="false">IF(B15=0,0,C15/B15)</f>
        <v>3873809.52380952</v>
      </c>
      <c r="E15" s="113" t="n">
        <f aca="false">IF(C15=0,0,1)</f>
        <v>1</v>
      </c>
      <c r="F15" s="31"/>
      <c r="G15" s="31"/>
      <c r="H15" s="31"/>
      <c r="I15" s="31"/>
      <c r="J15" s="31"/>
      <c r="K15" s="31"/>
      <c r="L15" s="31"/>
      <c r="M15" s="117"/>
      <c r="N15" s="117"/>
    </row>
    <row r="16" customFormat="false" ht="9.75" hidden="false" customHeight="true" outlineLevel="0" collapsed="false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117"/>
      <c r="N16" s="117"/>
    </row>
    <row r="17" customFormat="false" ht="14.25" hidden="false" customHeight="true" outlineLevel="0" collapsed="false">
      <c r="A17" s="27" t="s">
        <v>394</v>
      </c>
      <c r="B17" s="27"/>
      <c r="C17" s="27"/>
      <c r="D17" s="27"/>
      <c r="E17" s="27"/>
      <c r="F17" s="31"/>
      <c r="G17" s="31"/>
      <c r="H17" s="31"/>
      <c r="I17" s="31"/>
      <c r="J17" s="31"/>
      <c r="K17" s="31"/>
      <c r="L17" s="31"/>
      <c r="M17" s="117"/>
      <c r="N17" s="117"/>
    </row>
    <row r="18" customFormat="false" ht="14.25" hidden="false" customHeight="false" outlineLevel="0" collapsed="false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17"/>
      <c r="N18" s="117"/>
    </row>
    <row r="19" customFormat="false" ht="14.25" hidden="false" customHeight="false" outlineLevel="0" collapsed="false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17"/>
      <c r="N19" s="117"/>
    </row>
    <row r="20" customFormat="false" ht="14.25" hidden="false" customHeight="false" outlineLevel="0" collapsed="false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</row>
    <row r="21" customFormat="false" ht="14.25" hidden="false" customHeight="false" outlineLevel="0" collapsed="false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customFormat="false" ht="14.25" hidden="false" customHeight="false" outlineLevel="0" collapsed="false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</row>
    <row r="23" customFormat="false" ht="14.25" hidden="false" customHeight="false" outlineLevel="0" collapsed="false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</row>
  </sheetData>
  <mergeCells count="4">
    <mergeCell ref="A1:L1"/>
    <mergeCell ref="M1:N1"/>
    <mergeCell ref="A2:N2"/>
    <mergeCell ref="A17:E17"/>
  </mergeCells>
  <conditionalFormatting sqref="C5:C14">
    <cfRule type="dataBar" priority="2">
      <dataBar showValue="1" minLength="10" maxLength="90">
        <cfvo type="num" val="0"/>
        <cfvo type="max" val="0"/>
        <color rgb="FFC9A227"/>
      </dataBar>
      <extLst>
        <ext xmlns:x14="http://schemas.microsoft.com/office/spreadsheetml/2009/9/main" uri="{B025F937-C7B1-47D3-B67F-A62EFF666E3E}">
          <x14:id>{7EEEC7D9-DF3D-4FE3-8B4F-E0CBFABC74FD}</x14:id>
        </ext>
      </extLst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EEC7D9-DF3D-4FE3-8B4F-E0CBFABC74FD}">
            <x14:dataBar minLength="10" maxLength="90" axisPosition="none" gradient="true">
              <x14:cfvo type="num">
                <xm:f>0</xm:f>
              </x14:cfvo>
              <x14:cfvo type="max"/>
              <x14:negativeFillColor rgb="FFC9A227"/>
              <x14:axisColor rgb="FF000000"/>
            </x14:dataBar>
          </x14:cfRule>
          <xm:sqref>C5:C14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P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22"/>
    <col collapsed="false" customWidth="true" hidden="false" outlineLevel="0" max="3" min="3" style="0" width="1"/>
    <col collapsed="false" customWidth="true" hidden="false" outlineLevel="0" max="4" min="4" style="0" width="30"/>
    <col collapsed="false" customWidth="true" hidden="false" outlineLevel="0" max="5" min="5" style="0" width="22"/>
    <col collapsed="false" customWidth="true" hidden="false" outlineLevel="0" max="6" min="6" style="0" width="2.4"/>
  </cols>
  <sheetData>
    <row r="1" customFormat="false" ht="33.75" hidden="false" customHeight="true" outlineLevel="0" collapsed="false">
      <c r="A1" s="2" t="s">
        <v>395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8" t="str">
        <f aca="false">HYPERLINK("#Beranda!A1","⌂  Beranda")</f>
        <v>⌂  Beranda</v>
      </c>
      <c r="P1" s="28"/>
    </row>
    <row r="2" customFormat="false" ht="15.75" hidden="false" customHeight="true" outlineLevel="0" collapsed="false">
      <c r="A2" s="5" t="s">
        <v>396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16"/>
      <c r="N3" s="116"/>
      <c r="O3" s="116"/>
      <c r="P3" s="116"/>
    </row>
    <row r="4" customFormat="false" ht="21.75" hidden="false" customHeight="true" outlineLevel="0" collapsed="false">
      <c r="A4" s="7" t="s">
        <v>397</v>
      </c>
      <c r="B4" s="7"/>
      <c r="C4" s="7"/>
      <c r="D4" s="7"/>
      <c r="E4" s="7"/>
      <c r="F4" s="31"/>
      <c r="G4" s="31"/>
      <c r="H4" s="31"/>
      <c r="I4" s="31"/>
      <c r="J4" s="31"/>
      <c r="K4" s="31"/>
      <c r="L4" s="31"/>
      <c r="M4" s="117"/>
      <c r="N4" s="117"/>
      <c r="O4" s="117"/>
      <c r="P4" s="117"/>
    </row>
    <row r="5" customFormat="false" ht="21.75" hidden="false" customHeight="true" outlineLevel="0" collapsed="false">
      <c r="A5" s="156" t="s">
        <v>398</v>
      </c>
      <c r="B5" s="157" t="n">
        <f aca="false">MAX(Penerimaan!$C$6:$C$400)</f>
        <v>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117"/>
      <c r="N5" s="117"/>
      <c r="O5" s="117"/>
      <c r="P5" s="117"/>
    </row>
    <row r="6" customFormat="false" ht="21.75" hidden="false" customHeight="true" outlineLevel="0" collapsed="false">
      <c r="A6" s="158" t="s">
        <v>399</v>
      </c>
      <c r="B6" s="159" t="n">
        <f aca="false">IF(SUM(Penerimaan!$J$6:$J$400)=0,0,SUMIFS(Pengeluaran!$J$6:$J$400,Pengeluaran!$D$6:$D$400,"Operasional")/SUM(Penerimaan!$J$6:$J$400))</f>
        <v>0.175517312026224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117"/>
      <c r="N6" s="117"/>
      <c r="O6" s="117"/>
      <c r="P6" s="117"/>
    </row>
    <row r="7" customFormat="false" ht="21.75" hidden="false" customHeight="true" outlineLevel="0" collapsed="false">
      <c r="A7" s="158" t="s">
        <v>400</v>
      </c>
      <c r="B7" s="159" t="n">
        <f aca="false">IF(SUM(Penerimaan!$J$6:$J$400)=0,0,(SUMIFS(Penerimaan!$J$6:$J$400,Penerimaan!$D$6:$D$400,"Pembangunan")+SUMIFS(Penerimaan!$J$6:$J$400,Penerimaan!$D$6:$D$400,"Wakaf"))/SUM(Penerimaan!$J$6:$J$400))</f>
        <v>0.23560745748822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117"/>
      <c r="N7" s="117"/>
      <c r="O7" s="117"/>
      <c r="P7" s="117"/>
    </row>
    <row r="8" customFormat="false" ht="21.75" hidden="false" customHeight="true" outlineLevel="0" collapsed="false">
      <c r="A8" s="158" t="s">
        <v>401</v>
      </c>
      <c r="B8" s="159" t="n">
        <f aca="false">IF(Master!$B$27+SUM(Penerimaan!$J$6:$J$400)=0,0,SUM(Pengeluaran!$J$6:$J$400)/(Master!$B$27+SUM(Penerimaan!$J$6:$J$400)))</f>
        <v>0.393067868042436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117"/>
      <c r="N8" s="117"/>
      <c r="O8" s="117"/>
      <c r="P8" s="117"/>
    </row>
    <row r="9" customFormat="false" ht="21.75" hidden="false" customHeight="true" outlineLevel="0" collapsed="false">
      <c r="A9" s="158" t="s">
        <v>402</v>
      </c>
      <c r="B9" s="150" t="n">
        <f aca="false">SUMPRODUCT((Dashboard!$H$10:$H$21&gt;=$B$5-2)*(Dashboard!$H$10:$H$21&lt;=$B$5)*Dashboard!$J$10:$J$21)/3</f>
        <v>40440000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117"/>
      <c r="N9" s="117"/>
      <c r="O9" s="117"/>
      <c r="P9" s="117"/>
    </row>
    <row r="10" customFormat="false" ht="21.75" hidden="false" customHeight="true" outlineLevel="0" collapsed="false">
      <c r="A10" s="160" t="s">
        <v>403</v>
      </c>
      <c r="B10" s="161" t="n">
        <f aca="false">SUMPRODUCT((Dashboard!$H$10:$H$21&gt;=$B$5-2)*(Dashboard!$H$10:$H$21&lt;=$B$5)*Dashboard!$K$10:$K$21)/3</f>
        <v>17575000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117"/>
      <c r="N10" s="117"/>
      <c r="O10" s="117"/>
      <c r="P10" s="117"/>
    </row>
    <row r="11" customFormat="false" ht="9.75" hidden="false" customHeight="true" outlineLevel="0" collapsed="false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117"/>
      <c r="N11" s="117"/>
      <c r="O11" s="117"/>
      <c r="P11" s="117"/>
    </row>
    <row r="12" customFormat="false" ht="21.75" hidden="false" customHeight="true" outlineLevel="0" collapsed="false">
      <c r="A12" s="7" t="s">
        <v>404</v>
      </c>
      <c r="B12" s="7"/>
      <c r="C12" s="7"/>
      <c r="D12" s="7"/>
      <c r="E12" s="7"/>
      <c r="F12" s="31"/>
      <c r="G12" s="31"/>
      <c r="H12" s="31"/>
      <c r="I12" s="31"/>
      <c r="J12" s="31"/>
      <c r="K12" s="31"/>
      <c r="L12" s="31"/>
      <c r="M12" s="117"/>
      <c r="N12" s="117"/>
      <c r="O12" s="117"/>
      <c r="P12" s="117"/>
    </row>
    <row r="13" customFormat="false" ht="21.75" hidden="false" customHeight="true" outlineLevel="0" collapsed="false">
      <c r="A13" s="162" t="s">
        <v>405</v>
      </c>
      <c r="B13" s="163" t="n">
        <f aca="false">Dashboard!$H$5+Dashboard!$J$5</f>
        <v>208815000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117"/>
      <c r="N13" s="117"/>
      <c r="O13" s="117"/>
      <c r="P13" s="117"/>
    </row>
    <row r="14" customFormat="false" ht="21.75" hidden="false" customHeight="true" outlineLevel="0" collapsed="false">
      <c r="A14" s="47" t="s">
        <v>406</v>
      </c>
      <c r="B14" s="150" t="n">
        <f aca="false">$B$13+1*($B$9-$B$10)</f>
        <v>231680000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117"/>
      <c r="N14" s="117"/>
      <c r="O14" s="117"/>
      <c r="P14" s="117"/>
    </row>
    <row r="15" customFormat="false" ht="21.75" hidden="false" customHeight="true" outlineLevel="0" collapsed="false">
      <c r="A15" s="47" t="s">
        <v>407</v>
      </c>
      <c r="B15" s="150" t="n">
        <f aca="false">$B$13+2*($B$9-$B$10)</f>
        <v>254545000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117"/>
      <c r="N15" s="117"/>
      <c r="O15" s="117"/>
      <c r="P15" s="117"/>
    </row>
    <row r="16" customFormat="false" ht="21.75" hidden="false" customHeight="true" outlineLevel="0" collapsed="false">
      <c r="A16" s="75" t="s">
        <v>408</v>
      </c>
      <c r="B16" s="161" t="n">
        <f aca="false">$B$13+3*($B$9-$B$10)</f>
        <v>277410000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117"/>
      <c r="N16" s="117"/>
      <c r="O16" s="117"/>
      <c r="P16" s="117"/>
    </row>
    <row r="17" customFormat="false" ht="9.75" hidden="false" customHeight="true" outlineLevel="0" collapsed="false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117"/>
      <c r="N17" s="117"/>
      <c r="O17" s="117"/>
      <c r="P17" s="117"/>
    </row>
    <row r="18" customFormat="false" ht="24" hidden="false" customHeight="true" outlineLevel="0" collapsed="false">
      <c r="A18" s="164" t="s">
        <v>409</v>
      </c>
      <c r="B18" s="165" t="n">
        <v>25000000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17"/>
      <c r="N18" s="117"/>
      <c r="O18" s="117"/>
      <c r="P18" s="117"/>
    </row>
    <row r="19" customFormat="false" ht="25.5" hidden="false" customHeight="true" outlineLevel="0" collapsed="false">
      <c r="A19" s="114" t="s">
        <v>410</v>
      </c>
      <c r="B19" s="52" t="str">
        <f aca="false">IF(B16&lt;B18,"⚠ Proyeksi saldo di bawah batas minimum!",IF(B16&lt;1.2*B18,"● Mendekati batas minimum","✔ Aman"))</f>
        <v>✔ Aman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17"/>
      <c r="N19" s="117"/>
      <c r="O19" s="117"/>
      <c r="P19" s="117"/>
    </row>
    <row r="20" customFormat="false" ht="9.7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117"/>
      <c r="N20" s="117"/>
      <c r="O20" s="117"/>
      <c r="P20" s="117"/>
    </row>
    <row r="21" customFormat="false" ht="21.75" hidden="false" customHeight="true" outlineLevel="0" collapsed="false">
      <c r="A21" s="7" t="s">
        <v>411</v>
      </c>
      <c r="B21" s="7"/>
      <c r="C21" s="7"/>
      <c r="D21" s="7"/>
      <c r="E21" s="7"/>
      <c r="F21" s="31"/>
      <c r="G21" s="31"/>
      <c r="H21" s="31"/>
      <c r="I21" s="31"/>
      <c r="J21" s="31"/>
      <c r="K21" s="31"/>
      <c r="L21" s="31"/>
      <c r="M21" s="117"/>
      <c r="N21" s="117"/>
      <c r="O21" s="117"/>
      <c r="P21" s="117"/>
    </row>
    <row r="22" customFormat="false" ht="25.5" hidden="false" customHeight="true" outlineLevel="0" collapsed="false">
      <c r="A22" s="44" t="s">
        <v>227</v>
      </c>
      <c r="B22" s="56" t="s">
        <v>223</v>
      </c>
      <c r="C22" s="56"/>
      <c r="D22" s="56" t="s">
        <v>224</v>
      </c>
      <c r="E22" s="56" t="s">
        <v>412</v>
      </c>
      <c r="F22" s="31"/>
      <c r="G22" s="31"/>
      <c r="H22" s="31"/>
      <c r="I22" s="31"/>
      <c r="J22" s="31"/>
      <c r="K22" s="31"/>
      <c r="L22" s="31"/>
      <c r="M22" s="117"/>
      <c r="N22" s="117"/>
      <c r="O22" s="117"/>
      <c r="P22" s="117"/>
    </row>
    <row r="23" customFormat="false" ht="18" hidden="false" customHeight="true" outlineLevel="0" collapsed="false">
      <c r="A23" s="75" t="s">
        <v>229</v>
      </c>
      <c r="B23" s="77" t="n">
        <f aca="false">Dashboard!$J$10</f>
        <v>34280000</v>
      </c>
      <c r="C23" s="104"/>
      <c r="D23" s="77" t="n">
        <f aca="false">Dashboard!$K$10</f>
        <v>22285000</v>
      </c>
      <c r="E23" s="166" t="s">
        <v>413</v>
      </c>
      <c r="F23" s="31"/>
      <c r="G23" s="31"/>
      <c r="H23" s="31"/>
      <c r="I23" s="31"/>
      <c r="J23" s="31"/>
      <c r="K23" s="31"/>
      <c r="L23" s="31"/>
      <c r="M23" s="117"/>
      <c r="N23" s="117"/>
      <c r="O23" s="117"/>
      <c r="P23" s="117"/>
    </row>
    <row r="24" customFormat="false" ht="18" hidden="false" customHeight="true" outlineLevel="0" collapsed="false">
      <c r="A24" s="80" t="s">
        <v>230</v>
      </c>
      <c r="B24" s="82" t="n">
        <f aca="false">Dashboard!$J$11</f>
        <v>33860000</v>
      </c>
      <c r="C24" s="104"/>
      <c r="D24" s="82" t="n">
        <f aca="false">Dashboard!$K$11</f>
        <v>11520000</v>
      </c>
      <c r="E24" s="167" t="n">
        <f aca="false">IF(OR(B24=0,B23=0),"—",(B24-B23)/B23)</f>
        <v>-0.0122520420070012</v>
      </c>
      <c r="F24" s="31"/>
      <c r="G24" s="31"/>
      <c r="H24" s="31"/>
      <c r="I24" s="31"/>
      <c r="J24" s="31"/>
      <c r="K24" s="31"/>
      <c r="L24" s="31"/>
      <c r="M24" s="117"/>
      <c r="N24" s="117"/>
      <c r="O24" s="117"/>
      <c r="P24" s="117"/>
    </row>
    <row r="25" customFormat="false" ht="18" hidden="false" customHeight="true" outlineLevel="0" collapsed="false">
      <c r="A25" s="75" t="s">
        <v>231</v>
      </c>
      <c r="B25" s="77" t="n">
        <f aca="false">Dashboard!$J$12</f>
        <v>54590000</v>
      </c>
      <c r="C25" s="104"/>
      <c r="D25" s="77" t="n">
        <f aca="false">Dashboard!$K$12</f>
        <v>48705000</v>
      </c>
      <c r="E25" s="166" t="n">
        <f aca="false">IF(OR(B25=0,B24=0),"—",(B25-B24)/B24)</f>
        <v>0.612226816302422</v>
      </c>
      <c r="F25" s="31"/>
      <c r="G25" s="31"/>
      <c r="H25" s="31"/>
      <c r="I25" s="31"/>
      <c r="J25" s="31"/>
      <c r="K25" s="31"/>
      <c r="L25" s="31"/>
      <c r="M25" s="117"/>
      <c r="N25" s="117"/>
      <c r="O25" s="117"/>
      <c r="P25" s="117"/>
    </row>
    <row r="26" customFormat="false" ht="18" hidden="false" customHeight="true" outlineLevel="0" collapsed="false">
      <c r="A26" s="80" t="s">
        <v>232</v>
      </c>
      <c r="B26" s="82" t="n">
        <f aca="false">Dashboard!$J$13</f>
        <v>40030000</v>
      </c>
      <c r="C26" s="104"/>
      <c r="D26" s="82" t="n">
        <f aca="false">Dashboard!$K$13</f>
        <v>11890000</v>
      </c>
      <c r="E26" s="167" t="n">
        <f aca="false">IF(OR(B26=0,B25=0),"—",(B26-B25)/B25)</f>
        <v>-0.266715515662209</v>
      </c>
      <c r="F26" s="31"/>
      <c r="G26" s="31"/>
      <c r="H26" s="31"/>
      <c r="I26" s="31"/>
      <c r="J26" s="31"/>
      <c r="K26" s="31"/>
      <c r="L26" s="31"/>
      <c r="M26" s="117"/>
      <c r="N26" s="117"/>
      <c r="O26" s="117"/>
      <c r="P26" s="117"/>
    </row>
    <row r="27" customFormat="false" ht="18" hidden="false" customHeight="true" outlineLevel="0" collapsed="false">
      <c r="A27" s="75" t="s">
        <v>233</v>
      </c>
      <c r="B27" s="77" t="n">
        <f aca="false">Dashboard!$J$14</f>
        <v>36030000</v>
      </c>
      <c r="C27" s="104"/>
      <c r="D27" s="77" t="n">
        <f aca="false">Dashboard!$K$14</f>
        <v>22725000</v>
      </c>
      <c r="E27" s="166" t="n">
        <f aca="false">IF(OR(B27=0,B26=0),"—",(B27-B26)/B26)</f>
        <v>-0.0999250562078441</v>
      </c>
      <c r="F27" s="31"/>
      <c r="G27" s="31"/>
      <c r="H27" s="31"/>
      <c r="I27" s="31"/>
      <c r="J27" s="31"/>
      <c r="K27" s="31"/>
      <c r="L27" s="31"/>
      <c r="M27" s="117"/>
      <c r="N27" s="117"/>
      <c r="O27" s="117"/>
      <c r="P27" s="117"/>
    </row>
    <row r="28" customFormat="false" ht="18" hidden="false" customHeight="true" outlineLevel="0" collapsed="false">
      <c r="A28" s="80" t="s">
        <v>234</v>
      </c>
      <c r="B28" s="82" t="n">
        <f aca="false">Dashboard!$J$15</f>
        <v>45260000</v>
      </c>
      <c r="C28" s="104"/>
      <c r="D28" s="82" t="n">
        <f aca="false">Dashboard!$K$15</f>
        <v>18110000</v>
      </c>
      <c r="E28" s="167" t="n">
        <f aca="false">IF(OR(B28=0,B27=0),"—",(B28-B27)/B27)</f>
        <v>0.256175409381071</v>
      </c>
      <c r="F28" s="31"/>
      <c r="G28" s="31"/>
      <c r="H28" s="31"/>
      <c r="I28" s="31"/>
      <c r="J28" s="31"/>
      <c r="K28" s="31"/>
      <c r="L28" s="31"/>
      <c r="M28" s="117"/>
      <c r="N28" s="117"/>
      <c r="O28" s="117"/>
      <c r="P28" s="117"/>
    </row>
    <row r="29" customFormat="false" ht="18" hidden="false" customHeight="true" outlineLevel="0" collapsed="false">
      <c r="A29" s="75" t="s">
        <v>235</v>
      </c>
      <c r="B29" s="77" t="n">
        <f aca="false">Dashboard!$J$16</f>
        <v>0</v>
      </c>
      <c r="C29" s="104"/>
      <c r="D29" s="77" t="n">
        <f aca="false">Dashboard!$K$16</f>
        <v>0</v>
      </c>
      <c r="E29" s="166" t="str">
        <f aca="false">IF(OR(B29=0,B28=0),"—",(B29-B28)/B28)</f>
        <v>—</v>
      </c>
      <c r="F29" s="31"/>
      <c r="G29" s="31"/>
      <c r="H29" s="31"/>
      <c r="I29" s="31"/>
      <c r="J29" s="31"/>
      <c r="K29" s="31"/>
      <c r="L29" s="31"/>
      <c r="M29" s="117"/>
      <c r="N29" s="117"/>
      <c r="O29" s="117"/>
      <c r="P29" s="117"/>
    </row>
    <row r="30" customFormat="false" ht="18" hidden="false" customHeight="true" outlineLevel="0" collapsed="false">
      <c r="A30" s="80" t="s">
        <v>236</v>
      </c>
      <c r="B30" s="82" t="n">
        <f aca="false">Dashboard!$J$17</f>
        <v>0</v>
      </c>
      <c r="C30" s="104"/>
      <c r="D30" s="82" t="n">
        <f aca="false">Dashboard!$K$17</f>
        <v>0</v>
      </c>
      <c r="E30" s="167" t="str">
        <f aca="false">IF(OR(B30=0,B29=0),"—",(B30-B29)/B29)</f>
        <v>—</v>
      </c>
      <c r="F30" s="31"/>
      <c r="G30" s="31"/>
      <c r="H30" s="31"/>
      <c r="I30" s="31"/>
      <c r="J30" s="31"/>
      <c r="K30" s="31"/>
      <c r="L30" s="31"/>
      <c r="M30" s="117"/>
      <c r="N30" s="117"/>
      <c r="O30" s="117"/>
      <c r="P30" s="117"/>
    </row>
    <row r="31" customFormat="false" ht="18" hidden="false" customHeight="true" outlineLevel="0" collapsed="false">
      <c r="A31" s="75" t="s">
        <v>237</v>
      </c>
      <c r="B31" s="77" t="n">
        <f aca="false">Dashboard!$J$18</f>
        <v>0</v>
      </c>
      <c r="C31" s="104"/>
      <c r="D31" s="77" t="n">
        <f aca="false">Dashboard!$K$18</f>
        <v>0</v>
      </c>
      <c r="E31" s="166" t="str">
        <f aca="false">IF(OR(B31=0,B30=0),"—",(B31-B30)/B30)</f>
        <v>—</v>
      </c>
      <c r="F31" s="31"/>
      <c r="G31" s="31"/>
      <c r="H31" s="31"/>
      <c r="I31" s="31"/>
      <c r="J31" s="31"/>
      <c r="K31" s="31"/>
      <c r="L31" s="31"/>
      <c r="M31" s="117"/>
      <c r="N31" s="117"/>
      <c r="O31" s="117"/>
      <c r="P31" s="117"/>
    </row>
    <row r="32" customFormat="false" ht="18" hidden="false" customHeight="true" outlineLevel="0" collapsed="false">
      <c r="A32" s="80" t="s">
        <v>238</v>
      </c>
      <c r="B32" s="82" t="n">
        <f aca="false">Dashboard!$J$19</f>
        <v>0</v>
      </c>
      <c r="C32" s="104"/>
      <c r="D32" s="82" t="n">
        <f aca="false">Dashboard!$K$19</f>
        <v>0</v>
      </c>
      <c r="E32" s="167" t="str">
        <f aca="false">IF(OR(B32=0,B31=0),"—",(B32-B31)/B31)</f>
        <v>—</v>
      </c>
      <c r="F32" s="31"/>
      <c r="G32" s="31"/>
      <c r="H32" s="31"/>
      <c r="I32" s="31"/>
      <c r="J32" s="31"/>
      <c r="K32" s="31"/>
      <c r="L32" s="31"/>
      <c r="M32" s="117"/>
      <c r="N32" s="117"/>
      <c r="O32" s="117"/>
      <c r="P32" s="117"/>
    </row>
    <row r="33" customFormat="false" ht="18" hidden="false" customHeight="true" outlineLevel="0" collapsed="false">
      <c r="A33" s="75" t="s">
        <v>240</v>
      </c>
      <c r="B33" s="77" t="n">
        <f aca="false">Dashboard!$J$20</f>
        <v>0</v>
      </c>
      <c r="C33" s="104"/>
      <c r="D33" s="77" t="n">
        <f aca="false">Dashboard!$K$20</f>
        <v>0</v>
      </c>
      <c r="E33" s="166" t="str">
        <f aca="false">IF(OR(B33=0,B32=0),"—",(B33-B32)/B32)</f>
        <v>—</v>
      </c>
      <c r="F33" s="31"/>
      <c r="G33" s="31"/>
      <c r="H33" s="31"/>
      <c r="I33" s="31"/>
      <c r="J33" s="31"/>
      <c r="K33" s="31"/>
      <c r="L33" s="31"/>
      <c r="M33" s="117"/>
      <c r="N33" s="117"/>
      <c r="O33" s="117"/>
      <c r="P33" s="117"/>
    </row>
    <row r="34" customFormat="false" ht="18" hidden="false" customHeight="true" outlineLevel="0" collapsed="false">
      <c r="A34" s="80" t="s">
        <v>243</v>
      </c>
      <c r="B34" s="82" t="n">
        <f aca="false">Dashboard!$J$21</f>
        <v>0</v>
      </c>
      <c r="C34" s="104"/>
      <c r="D34" s="82" t="n">
        <f aca="false">Dashboard!$K$21</f>
        <v>0</v>
      </c>
      <c r="E34" s="167" t="str">
        <f aca="false">IF(OR(B34=0,B33=0),"—",(B34-B33)/B33)</f>
        <v>—</v>
      </c>
      <c r="F34" s="31"/>
      <c r="G34" s="31"/>
      <c r="H34" s="31"/>
      <c r="I34" s="31"/>
      <c r="J34" s="31"/>
      <c r="K34" s="31"/>
      <c r="L34" s="31"/>
      <c r="M34" s="117"/>
      <c r="N34" s="117"/>
      <c r="O34" s="117"/>
      <c r="P34" s="117"/>
    </row>
    <row r="35" customFormat="false" ht="9.75" hidden="false" customHeight="true" outlineLevel="0" collapsed="false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117"/>
      <c r="N35" s="117"/>
      <c r="O35" s="117"/>
      <c r="P35" s="117"/>
    </row>
    <row r="36" customFormat="false" ht="14.25" hidden="false" customHeight="true" outlineLevel="0" collapsed="false">
      <c r="A36" s="27" t="s">
        <v>414</v>
      </c>
      <c r="B36" s="27"/>
      <c r="C36" s="27"/>
      <c r="D36" s="27"/>
      <c r="E36" s="27"/>
      <c r="F36" s="31"/>
      <c r="G36" s="31"/>
      <c r="H36" s="31"/>
      <c r="I36" s="31"/>
      <c r="J36" s="31"/>
      <c r="K36" s="31"/>
      <c r="L36" s="31"/>
      <c r="M36" s="117"/>
      <c r="N36" s="117"/>
      <c r="O36" s="117"/>
      <c r="P36" s="117"/>
    </row>
    <row r="37" customFormat="false" ht="14.25" hidden="false" customHeight="false" outlineLevel="0" collapsed="false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117"/>
      <c r="N37" s="117"/>
      <c r="O37" s="117"/>
      <c r="P37" s="117"/>
    </row>
    <row r="38" customFormat="false" ht="14.25" hidden="false" customHeight="false" outlineLevel="0" collapsed="false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117"/>
      <c r="N38" s="117"/>
      <c r="O38" s="117"/>
      <c r="P38" s="117"/>
    </row>
    <row r="39" customFormat="false" ht="14.25" hidden="false" customHeight="false" outlineLevel="0" collapsed="false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</row>
  </sheetData>
  <mergeCells count="7">
    <mergeCell ref="A1:N1"/>
    <mergeCell ref="O1:P1"/>
    <mergeCell ref="A2:P2"/>
    <mergeCell ref="A4:E4"/>
    <mergeCell ref="A12:E12"/>
    <mergeCell ref="A21:E21"/>
    <mergeCell ref="A36:E36"/>
  </mergeCells>
  <conditionalFormatting sqref="B6">
    <cfRule type="cellIs" priority="2" operator="greaterThan" aboveAverage="0" equalAverage="0" bottom="0" percent="0" rank="0" text="" dxfId="9">
      <formula>0.6</formula>
    </cfRule>
  </conditionalFormatting>
  <conditionalFormatting sqref="B14:B16">
    <cfRule type="cellIs" priority="3" operator="lessThan" aboveAverage="0" equalAverage="0" bottom="0" percent="0" rank="0" text="" dxfId="9">
      <formula>$B$18</formula>
    </cfRule>
  </conditionalFormatting>
  <conditionalFormatting sqref="B19">
    <cfRule type="expression" priority="4" aboveAverage="0" equalAverage="0" bottom="0" percent="0" rank="0" text="" dxfId="0">
      <formula>LEFT($B$19,1)="✔"</formula>
    </cfRule>
    <cfRule type="expression" priority="5" aboveAverage="0" equalAverage="0" bottom="0" percent="0" rank="0" text="" dxfId="1">
      <formula>LEFT($B$19,1)="●"</formula>
    </cfRule>
    <cfRule type="expression" priority="6" aboveAverage="0" equalAverage="0" bottom="0" percent="0" rank="0" text="" dxfId="1">
      <formula>LEFT($B$19,1)="○"</formula>
    </cfRule>
    <cfRule type="expression" priority="7" aboveAverage="0" equalAverage="0" bottom="0" percent="0" rank="0" text="" dxfId="2">
      <formula>LEFT($B$19,1)="⚠"</formula>
    </cfRule>
  </conditionalFormatting>
  <conditionalFormatting sqref="E23:E34">
    <cfRule type="cellIs" priority="8" operator="greaterThan" aboveAverage="0" equalAverage="0" bottom="0" percent="0" rank="0" text="" dxfId="12">
      <formula>0</formula>
    </cfRule>
    <cfRule type="cellIs" priority="9" operator="lessThan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true"/>
  </sheetPr>
  <dimension ref="A1:V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0"/>
    <col collapsed="false" customWidth="true" hidden="false" outlineLevel="0" max="3" min="3" style="0" width="2.2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6" min="6" style="0" width="24"/>
    <col collapsed="false" customWidth="true" hidden="false" outlineLevel="0" max="7" min="7" style="0" width="2.2"/>
    <col collapsed="false" customWidth="true" hidden="false" outlineLevel="0" max="8" min="8" style="0" width="24"/>
    <col collapsed="false" customWidth="true" hidden="false" outlineLevel="0" max="9" min="9" style="0" width="2.2"/>
    <col collapsed="false" customWidth="true" hidden="false" outlineLevel="0" max="10" min="10" style="0" width="24"/>
    <col collapsed="false" customWidth="true" hidden="false" outlineLevel="0" max="11" min="11" style="0" width="2.2"/>
    <col collapsed="false" customWidth="true" hidden="false" outlineLevel="0" max="12" min="12" style="0" width="24"/>
    <col collapsed="false" customWidth="true" hidden="false" outlineLevel="0" max="13" min="13" style="0" width="2.2"/>
    <col collapsed="false" customWidth="true" hidden="false" outlineLevel="0" max="14" min="14" style="0" width="24"/>
    <col collapsed="false" customWidth="true" hidden="false" outlineLevel="0" max="15" min="15" style="0" width="2.2"/>
    <col collapsed="false" customWidth="true" hidden="false" outlineLevel="0" max="16" min="16" style="0" width="24"/>
  </cols>
  <sheetData>
    <row r="1" customFormat="false" ht="33.75" hidden="false" customHeight="tru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8" t="str">
        <f aca="false">HYPERLINK("#Beranda!A1","⌂  Beranda")</f>
        <v>⌂  Beranda</v>
      </c>
      <c r="P1" s="28"/>
      <c r="Q1" s="4"/>
      <c r="R1" s="4"/>
      <c r="S1" s="4"/>
      <c r="T1" s="4"/>
      <c r="U1" s="4"/>
      <c r="V1" s="4"/>
    </row>
    <row r="2" customFormat="false" ht="15.75" hidden="false" customHeight="true" outlineLevel="0" collapsed="false">
      <c r="A2" s="5" t="s">
        <v>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T2" s="4"/>
      <c r="U2" s="4"/>
      <c r="V2" s="4"/>
    </row>
    <row r="3" customFormat="false" ht="3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4"/>
      <c r="R3" s="4"/>
      <c r="S3" s="4"/>
      <c r="T3" s="4"/>
      <c r="U3" s="4"/>
      <c r="V3" s="4"/>
    </row>
    <row r="4" customFormat="false" ht="30" hidden="false" customHeight="true" outlineLevel="0" collapsed="false">
      <c r="A4" s="30" t="s">
        <v>41</v>
      </c>
      <c r="B4" s="30" t="s">
        <v>42</v>
      </c>
      <c r="C4" s="31"/>
      <c r="D4" s="30" t="s">
        <v>43</v>
      </c>
      <c r="E4" s="30"/>
      <c r="F4" s="30" t="s">
        <v>44</v>
      </c>
      <c r="G4" s="31"/>
      <c r="H4" s="30" t="s">
        <v>45</v>
      </c>
      <c r="I4" s="31"/>
      <c r="J4" s="30" t="s">
        <v>46</v>
      </c>
      <c r="K4" s="31"/>
      <c r="L4" s="30" t="s">
        <v>47</v>
      </c>
      <c r="M4" s="31"/>
      <c r="N4" s="30" t="s">
        <v>48</v>
      </c>
      <c r="O4" s="31"/>
      <c r="P4" s="30" t="s">
        <v>49</v>
      </c>
      <c r="Q4" s="4"/>
      <c r="R4" s="4"/>
      <c r="S4" s="4"/>
      <c r="T4" s="4"/>
      <c r="U4" s="4"/>
      <c r="V4" s="4"/>
    </row>
    <row r="5" customFormat="false" ht="18" hidden="false" customHeight="true" outlineLevel="0" collapsed="false">
      <c r="A5" s="32" t="s">
        <v>50</v>
      </c>
      <c r="B5" s="33" t="s">
        <v>51</v>
      </c>
      <c r="C5" s="31"/>
      <c r="D5" s="32" t="s">
        <v>52</v>
      </c>
      <c r="E5" s="34"/>
      <c r="F5" s="35" t="s">
        <v>53</v>
      </c>
      <c r="G5" s="31"/>
      <c r="H5" s="35" t="s">
        <v>54</v>
      </c>
      <c r="I5" s="31"/>
      <c r="J5" s="35" t="s">
        <v>55</v>
      </c>
      <c r="K5" s="31"/>
      <c r="L5" s="35" t="s">
        <v>56</v>
      </c>
      <c r="M5" s="31"/>
      <c r="N5" s="35" t="s">
        <v>57</v>
      </c>
      <c r="O5" s="31"/>
      <c r="P5" s="35" t="s">
        <v>58</v>
      </c>
      <c r="Q5" s="4"/>
      <c r="R5" s="4"/>
      <c r="S5" s="4"/>
      <c r="T5" s="4"/>
      <c r="U5" s="4"/>
      <c r="V5" s="4"/>
    </row>
    <row r="6" customFormat="false" ht="18" hidden="false" customHeight="true" outlineLevel="0" collapsed="false">
      <c r="A6" s="36" t="s">
        <v>59</v>
      </c>
      <c r="B6" s="37" t="s">
        <v>60</v>
      </c>
      <c r="C6" s="31"/>
      <c r="D6" s="36" t="s">
        <v>61</v>
      </c>
      <c r="E6" s="38"/>
      <c r="F6" s="39" t="s">
        <v>62</v>
      </c>
      <c r="G6" s="31"/>
      <c r="H6" s="39" t="s">
        <v>63</v>
      </c>
      <c r="I6" s="31"/>
      <c r="J6" s="39" t="s">
        <v>64</v>
      </c>
      <c r="K6" s="31"/>
      <c r="L6" s="40" t="s">
        <v>65</v>
      </c>
      <c r="M6" s="31"/>
      <c r="N6" s="39" t="s">
        <v>22</v>
      </c>
      <c r="O6" s="31"/>
      <c r="P6" s="39" t="s">
        <v>66</v>
      </c>
      <c r="Q6" s="4"/>
      <c r="R6" s="4"/>
      <c r="S6" s="4"/>
      <c r="T6" s="4"/>
      <c r="U6" s="4"/>
      <c r="V6" s="4"/>
    </row>
    <row r="7" customFormat="false" ht="18" hidden="false" customHeight="true" outlineLevel="0" collapsed="false">
      <c r="A7" s="36" t="s">
        <v>67</v>
      </c>
      <c r="B7" s="37" t="s">
        <v>60</v>
      </c>
      <c r="C7" s="31"/>
      <c r="D7" s="36" t="s">
        <v>68</v>
      </c>
      <c r="E7" s="38"/>
      <c r="F7" s="39" t="s">
        <v>69</v>
      </c>
      <c r="G7" s="31"/>
      <c r="H7" s="39" t="s">
        <v>70</v>
      </c>
      <c r="I7" s="31"/>
      <c r="J7" s="40" t="s">
        <v>71</v>
      </c>
      <c r="K7" s="31"/>
      <c r="L7" s="31"/>
      <c r="M7" s="31"/>
      <c r="N7" s="39" t="s">
        <v>72</v>
      </c>
      <c r="O7" s="31"/>
      <c r="P7" s="39" t="s">
        <v>73</v>
      </c>
      <c r="Q7" s="4"/>
      <c r="R7" s="4"/>
      <c r="S7" s="4"/>
      <c r="T7" s="4"/>
      <c r="U7" s="4"/>
      <c r="V7" s="4"/>
    </row>
    <row r="8" customFormat="false" ht="18" hidden="false" customHeight="true" outlineLevel="0" collapsed="false">
      <c r="A8" s="36" t="s">
        <v>74</v>
      </c>
      <c r="B8" s="37" t="s">
        <v>51</v>
      </c>
      <c r="C8" s="31"/>
      <c r="D8" s="36" t="s">
        <v>75</v>
      </c>
      <c r="E8" s="38"/>
      <c r="F8" s="39" t="s">
        <v>76</v>
      </c>
      <c r="G8" s="31"/>
      <c r="H8" s="39" t="s">
        <v>77</v>
      </c>
      <c r="I8" s="31"/>
      <c r="J8" s="31"/>
      <c r="K8" s="31"/>
      <c r="L8" s="31"/>
      <c r="M8" s="31"/>
      <c r="N8" s="39" t="s">
        <v>25</v>
      </c>
      <c r="O8" s="31"/>
      <c r="P8" s="39" t="s">
        <v>78</v>
      </c>
      <c r="Q8" s="4"/>
      <c r="R8" s="4"/>
      <c r="S8" s="4"/>
      <c r="T8" s="4"/>
      <c r="U8" s="4"/>
      <c r="V8" s="4"/>
    </row>
    <row r="9" customFormat="false" ht="18" hidden="false" customHeight="true" outlineLevel="0" collapsed="false">
      <c r="A9" s="36" t="s">
        <v>79</v>
      </c>
      <c r="B9" s="37" t="s">
        <v>51</v>
      </c>
      <c r="C9" s="31"/>
      <c r="D9" s="36" t="s">
        <v>80</v>
      </c>
      <c r="E9" s="38"/>
      <c r="F9" s="39" t="s">
        <v>81</v>
      </c>
      <c r="G9" s="31"/>
      <c r="H9" s="39" t="s">
        <v>82</v>
      </c>
      <c r="I9" s="31"/>
      <c r="J9" s="31"/>
      <c r="K9" s="31"/>
      <c r="L9" s="31"/>
      <c r="M9" s="31"/>
      <c r="N9" s="39" t="s">
        <v>83</v>
      </c>
      <c r="O9" s="31"/>
      <c r="P9" s="39" t="s">
        <v>84</v>
      </c>
      <c r="Q9" s="4"/>
      <c r="R9" s="4"/>
      <c r="S9" s="4"/>
      <c r="T9" s="4"/>
      <c r="U9" s="4"/>
      <c r="V9" s="4"/>
    </row>
    <row r="10" customFormat="false" ht="18" hidden="false" customHeight="true" outlineLevel="0" collapsed="false">
      <c r="A10" s="36" t="s">
        <v>85</v>
      </c>
      <c r="B10" s="37" t="s">
        <v>60</v>
      </c>
      <c r="C10" s="31"/>
      <c r="D10" s="36" t="s">
        <v>86</v>
      </c>
      <c r="E10" s="38"/>
      <c r="F10" s="39" t="s">
        <v>87</v>
      </c>
      <c r="G10" s="31"/>
      <c r="H10" s="39" t="s">
        <v>88</v>
      </c>
      <c r="I10" s="31"/>
      <c r="J10" s="31"/>
      <c r="K10" s="31"/>
      <c r="L10" s="31"/>
      <c r="M10" s="31"/>
      <c r="N10" s="39" t="s">
        <v>89</v>
      </c>
      <c r="O10" s="31"/>
      <c r="P10" s="39" t="s">
        <v>90</v>
      </c>
      <c r="Q10" s="4"/>
      <c r="R10" s="4"/>
      <c r="S10" s="4"/>
      <c r="T10" s="4"/>
      <c r="U10" s="4"/>
      <c r="V10" s="4"/>
    </row>
    <row r="11" customFormat="false" ht="18" hidden="false" customHeight="true" outlineLevel="0" collapsed="false">
      <c r="A11" s="41" t="s">
        <v>91</v>
      </c>
      <c r="B11" s="42" t="s">
        <v>51</v>
      </c>
      <c r="C11" s="31"/>
      <c r="D11" s="36" t="s">
        <v>92</v>
      </c>
      <c r="E11" s="38"/>
      <c r="F11" s="39" t="s">
        <v>93</v>
      </c>
      <c r="G11" s="31"/>
      <c r="H11" s="39" t="s">
        <v>94</v>
      </c>
      <c r="I11" s="31"/>
      <c r="J11" s="31"/>
      <c r="K11" s="31"/>
      <c r="L11" s="31"/>
      <c r="M11" s="31"/>
      <c r="N11" s="39" t="s">
        <v>95</v>
      </c>
      <c r="O11" s="31"/>
      <c r="P11" s="39" t="s">
        <v>96</v>
      </c>
      <c r="Q11" s="4"/>
      <c r="R11" s="4"/>
      <c r="S11" s="4"/>
      <c r="T11" s="4"/>
      <c r="U11" s="4"/>
      <c r="V11" s="4"/>
    </row>
    <row r="12" customFormat="false" ht="18" hidden="false" customHeight="true" outlineLevel="0" collapsed="false">
      <c r="A12" s="31"/>
      <c r="B12" s="31"/>
      <c r="C12" s="31"/>
      <c r="D12" s="36" t="s">
        <v>97</v>
      </c>
      <c r="E12" s="38"/>
      <c r="F12" s="39" t="s">
        <v>98</v>
      </c>
      <c r="G12" s="31"/>
      <c r="H12" s="39" t="s">
        <v>99</v>
      </c>
      <c r="I12" s="31"/>
      <c r="J12" s="31"/>
      <c r="K12" s="31"/>
      <c r="L12" s="31"/>
      <c r="M12" s="31"/>
      <c r="N12" s="39" t="s">
        <v>100</v>
      </c>
      <c r="O12" s="31"/>
      <c r="P12" s="40" t="s">
        <v>101</v>
      </c>
      <c r="Q12" s="4"/>
      <c r="R12" s="4"/>
      <c r="S12" s="4"/>
      <c r="T12" s="4"/>
      <c r="U12" s="4"/>
      <c r="V12" s="4"/>
    </row>
    <row r="13" customFormat="false" ht="18" hidden="false" customHeight="true" outlineLevel="0" collapsed="false">
      <c r="A13" s="31"/>
      <c r="B13" s="31"/>
      <c r="C13" s="31"/>
      <c r="D13" s="36" t="s">
        <v>102</v>
      </c>
      <c r="E13" s="38"/>
      <c r="F13" s="39" t="s">
        <v>59</v>
      </c>
      <c r="G13" s="31"/>
      <c r="H13" s="40" t="s">
        <v>103</v>
      </c>
      <c r="I13" s="31"/>
      <c r="J13" s="31"/>
      <c r="K13" s="31"/>
      <c r="L13" s="31"/>
      <c r="M13" s="31"/>
      <c r="N13" s="39" t="s">
        <v>104</v>
      </c>
      <c r="O13" s="31"/>
      <c r="P13" s="31"/>
      <c r="Q13" s="4"/>
      <c r="R13" s="4"/>
      <c r="S13" s="4"/>
      <c r="T13" s="4"/>
      <c r="U13" s="4"/>
      <c r="V13" s="4"/>
    </row>
    <row r="14" customFormat="false" ht="18" hidden="false" customHeight="true" outlineLevel="0" collapsed="false">
      <c r="A14" s="31"/>
      <c r="B14" s="31"/>
      <c r="C14" s="31"/>
      <c r="D14" s="36" t="s">
        <v>105</v>
      </c>
      <c r="E14" s="38"/>
      <c r="F14" s="39" t="s">
        <v>106</v>
      </c>
      <c r="G14" s="31"/>
      <c r="H14" s="31"/>
      <c r="I14" s="31"/>
      <c r="J14" s="31"/>
      <c r="K14" s="31"/>
      <c r="L14" s="31"/>
      <c r="M14" s="31"/>
      <c r="N14" s="40" t="s">
        <v>107</v>
      </c>
      <c r="O14" s="31"/>
      <c r="P14" s="31"/>
      <c r="Q14" s="4"/>
      <c r="R14" s="4"/>
      <c r="S14" s="4"/>
      <c r="T14" s="4"/>
      <c r="U14" s="4"/>
      <c r="V14" s="4"/>
    </row>
    <row r="15" customFormat="false" ht="18" hidden="false" customHeight="true" outlineLevel="0" collapsed="false">
      <c r="A15" s="31"/>
      <c r="B15" s="31"/>
      <c r="C15" s="31"/>
      <c r="D15" s="36" t="s">
        <v>98</v>
      </c>
      <c r="E15" s="38"/>
      <c r="F15" s="39" t="s">
        <v>108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4"/>
      <c r="R15" s="4"/>
      <c r="S15" s="4"/>
      <c r="T15" s="4"/>
      <c r="U15" s="4"/>
      <c r="V15" s="4"/>
    </row>
    <row r="16" customFormat="false" ht="18" hidden="false" customHeight="true" outlineLevel="0" collapsed="false">
      <c r="A16" s="31"/>
      <c r="B16" s="31"/>
      <c r="C16" s="31"/>
      <c r="D16" s="41" t="s">
        <v>91</v>
      </c>
      <c r="E16" s="43"/>
      <c r="F16" s="40" t="s">
        <v>109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4"/>
      <c r="R16" s="4"/>
      <c r="S16" s="4"/>
      <c r="T16" s="4"/>
      <c r="U16" s="4"/>
      <c r="V16" s="4"/>
    </row>
    <row r="17" customFormat="false" ht="14.25" hidden="false" customHeight="false" outlineLevel="0" collapsed="false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4"/>
      <c r="R17" s="4"/>
      <c r="S17" s="4"/>
      <c r="T17" s="4"/>
      <c r="U17" s="4"/>
      <c r="V17" s="4"/>
    </row>
    <row r="18" customFormat="false" ht="9.75" hidden="false" customHeight="true" outlineLevel="0" collapsed="false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4"/>
      <c r="R18" s="4"/>
      <c r="S18" s="4"/>
      <c r="T18" s="4"/>
      <c r="U18" s="4"/>
      <c r="V18" s="4"/>
    </row>
    <row r="19" customFormat="false" ht="21.75" hidden="false" customHeight="true" outlineLevel="0" collapsed="false">
      <c r="A19" s="27" t="s">
        <v>110</v>
      </c>
      <c r="B19" s="27"/>
      <c r="C19" s="27"/>
      <c r="D19" s="27"/>
      <c r="E19" s="27"/>
      <c r="F19" s="27"/>
      <c r="G19" s="27"/>
      <c r="H19" s="27"/>
      <c r="I19" s="31"/>
      <c r="J19" s="31"/>
      <c r="K19" s="31"/>
      <c r="L19" s="31"/>
      <c r="M19" s="31"/>
      <c r="N19" s="31"/>
      <c r="O19" s="31"/>
      <c r="P19" s="31"/>
      <c r="Q19" s="4"/>
      <c r="R19" s="4"/>
      <c r="S19" s="4"/>
      <c r="T19" s="4"/>
      <c r="U19" s="4"/>
      <c r="V19" s="4"/>
    </row>
    <row r="20" customFormat="false" ht="14.25" hidden="false" customHeight="fals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4"/>
      <c r="R20" s="4"/>
      <c r="S20" s="4"/>
      <c r="T20" s="4"/>
      <c r="U20" s="4"/>
      <c r="V20" s="4"/>
    </row>
    <row r="21" customFormat="false" ht="14.25" hidden="false" customHeight="false" outlineLevel="0" collapsed="false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4"/>
      <c r="R21" s="4"/>
      <c r="S21" s="4"/>
      <c r="T21" s="4"/>
      <c r="U21" s="4"/>
      <c r="V21" s="4"/>
    </row>
    <row r="22" customFormat="false" ht="14.25" hidden="false" customHeight="false" outlineLevel="0" collapsed="false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4"/>
      <c r="R22" s="4"/>
      <c r="S22" s="4"/>
      <c r="T22" s="4"/>
      <c r="U22" s="4"/>
      <c r="V22" s="4"/>
    </row>
    <row r="23" customFormat="false" ht="9.75" hidden="false" customHeight="true" outlineLevel="0" collapsed="false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4"/>
      <c r="R23" s="4"/>
      <c r="S23" s="4"/>
      <c r="T23" s="4"/>
      <c r="U23" s="4"/>
      <c r="V23" s="4"/>
    </row>
    <row r="24" customFormat="false" ht="24" hidden="false" customHeight="true" outlineLevel="0" collapsed="false">
      <c r="A24" s="44" t="s">
        <v>111</v>
      </c>
      <c r="B24" s="44"/>
      <c r="C24" s="31"/>
      <c r="D24" s="44" t="s">
        <v>112</v>
      </c>
      <c r="E24" s="44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4"/>
      <c r="R24" s="4"/>
      <c r="S24" s="4"/>
      <c r="T24" s="4"/>
      <c r="U24" s="4"/>
      <c r="V24" s="4"/>
    </row>
    <row r="25" customFormat="false" ht="18" hidden="false" customHeight="true" outlineLevel="0" collapsed="false">
      <c r="A25" s="45" t="s">
        <v>113</v>
      </c>
      <c r="B25" s="46" t="n">
        <v>15000000</v>
      </c>
      <c r="C25" s="31"/>
      <c r="D25" s="45" t="s">
        <v>50</v>
      </c>
      <c r="E25" s="46" t="n">
        <v>25000000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4"/>
      <c r="R25" s="4"/>
      <c r="S25" s="4"/>
      <c r="T25" s="4"/>
      <c r="U25" s="4"/>
      <c r="V25" s="4"/>
    </row>
    <row r="26" customFormat="false" ht="18" hidden="false" customHeight="true" outlineLevel="0" collapsed="false">
      <c r="A26" s="47" t="s">
        <v>114</v>
      </c>
      <c r="B26" s="48" t="n">
        <v>85000000</v>
      </c>
      <c r="C26" s="31"/>
      <c r="D26" s="47" t="s">
        <v>59</v>
      </c>
      <c r="E26" s="48" t="n">
        <v>45000000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4"/>
      <c r="R26" s="4"/>
      <c r="S26" s="4"/>
      <c r="T26" s="4"/>
      <c r="U26" s="4"/>
      <c r="V26" s="4"/>
    </row>
    <row r="27" customFormat="false" ht="21.75" hidden="false" customHeight="true" outlineLevel="0" collapsed="false">
      <c r="A27" s="49" t="s">
        <v>115</v>
      </c>
      <c r="B27" s="50" t="n">
        <f aca="false">B25+B26</f>
        <v>100000000</v>
      </c>
      <c r="C27" s="31"/>
      <c r="D27" s="47" t="s">
        <v>67</v>
      </c>
      <c r="E27" s="48" t="n">
        <v>5000000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4"/>
      <c r="R27" s="4"/>
      <c r="S27" s="4"/>
      <c r="T27" s="4"/>
      <c r="U27" s="4"/>
      <c r="V27" s="4"/>
    </row>
    <row r="28" customFormat="false" ht="18" hidden="false" customHeight="true" outlineLevel="0" collapsed="false">
      <c r="A28" s="31"/>
      <c r="B28" s="31"/>
      <c r="C28" s="31"/>
      <c r="D28" s="47" t="s">
        <v>74</v>
      </c>
      <c r="E28" s="48" t="n">
        <v>10000000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4"/>
      <c r="R28" s="4"/>
      <c r="S28" s="4"/>
      <c r="T28" s="4"/>
      <c r="U28" s="4"/>
      <c r="V28" s="4"/>
    </row>
    <row r="29" customFormat="false" ht="18" hidden="false" customHeight="true" outlineLevel="0" collapsed="false">
      <c r="A29" s="31"/>
      <c r="B29" s="31"/>
      <c r="C29" s="31"/>
      <c r="D29" s="47" t="s">
        <v>79</v>
      </c>
      <c r="E29" s="48" t="n">
        <v>5000000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4"/>
      <c r="R29" s="4"/>
      <c r="S29" s="4"/>
      <c r="T29" s="4"/>
      <c r="U29" s="4"/>
      <c r="V29" s="4"/>
    </row>
    <row r="30" customFormat="false" ht="18" hidden="false" customHeight="true" outlineLevel="0" collapsed="false">
      <c r="A30" s="31"/>
      <c r="B30" s="31"/>
      <c r="C30" s="31"/>
      <c r="D30" s="47" t="s">
        <v>85</v>
      </c>
      <c r="E30" s="48" t="n">
        <v>8000000</v>
      </c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4"/>
      <c r="R30" s="4"/>
      <c r="S30" s="4"/>
      <c r="T30" s="4"/>
      <c r="U30" s="4"/>
      <c r="V30" s="4"/>
    </row>
    <row r="31" customFormat="false" ht="18" hidden="false" customHeight="true" outlineLevel="0" collapsed="false">
      <c r="A31" s="31"/>
      <c r="B31" s="31"/>
      <c r="C31" s="31"/>
      <c r="D31" s="47" t="s">
        <v>91</v>
      </c>
      <c r="E31" s="48" t="n">
        <v>2000000</v>
      </c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4"/>
      <c r="R31" s="4"/>
      <c r="S31" s="4"/>
      <c r="T31" s="4"/>
      <c r="U31" s="4"/>
      <c r="V31" s="4"/>
    </row>
    <row r="32" customFormat="false" ht="21.75" hidden="false" customHeight="true" outlineLevel="0" collapsed="false">
      <c r="A32" s="31"/>
      <c r="B32" s="31"/>
      <c r="C32" s="31"/>
      <c r="D32" s="49" t="s">
        <v>116</v>
      </c>
      <c r="E32" s="50" t="n">
        <f aca="false">SUM(E25:E31)</f>
        <v>100000000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4"/>
      <c r="R32" s="4"/>
      <c r="S32" s="4"/>
      <c r="T32" s="4"/>
      <c r="U32" s="4"/>
      <c r="V32" s="4"/>
    </row>
    <row r="33" customFormat="false" ht="21.75" hidden="false" customHeight="true" outlineLevel="0" collapsed="false">
      <c r="A33" s="31"/>
      <c r="B33" s="31"/>
      <c r="C33" s="31"/>
      <c r="D33" s="51" t="s">
        <v>117</v>
      </c>
      <c r="E33" s="52" t="str">
        <f aca="false">IF(E32=B27,"✔ Seimbang","⚠ Tidak seimbang!")</f>
        <v>✔ Seimbang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4"/>
      <c r="R33" s="4"/>
      <c r="S33" s="4"/>
      <c r="T33" s="4"/>
      <c r="U33" s="4"/>
      <c r="V33" s="4"/>
    </row>
    <row r="34" customFormat="false" ht="14.25" hidden="false" customHeight="false" outlineLevel="0" collapsed="false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4"/>
      <c r="R34" s="4"/>
      <c r="S34" s="4"/>
      <c r="T34" s="4"/>
      <c r="U34" s="4"/>
      <c r="V34" s="4"/>
    </row>
    <row r="35" customFormat="false" ht="14.25" hidden="false" customHeight="false" outlineLevel="0" collapsed="false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4"/>
      <c r="R35" s="4"/>
      <c r="S35" s="4"/>
      <c r="T35" s="4"/>
      <c r="U35" s="4"/>
      <c r="V35" s="4"/>
    </row>
    <row r="36" customFormat="false" ht="14.25" hidden="false" customHeight="fals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customFormat="false" ht="14.25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</sheetData>
  <mergeCells count="7">
    <mergeCell ref="A1:N1"/>
    <mergeCell ref="O1:P1"/>
    <mergeCell ref="A2:P2"/>
    <mergeCell ref="D4:E4"/>
    <mergeCell ref="A19:H19"/>
    <mergeCell ref="A24:B24"/>
    <mergeCell ref="D24:E24"/>
  </mergeCells>
  <conditionalFormatting sqref="E33">
    <cfRule type="expression" priority="2" aboveAverage="0" equalAverage="0" bottom="0" percent="0" rank="0" text="" dxfId="0">
      <formula>LEFT($E$33,1)="✔"</formula>
    </cfRule>
    <cfRule type="expression" priority="3" aboveAverage="0" equalAverage="0" bottom="0" percent="0" rank="0" text="" dxfId="1">
      <formula>LEFT($E$33,1)="●"</formula>
    </cfRule>
    <cfRule type="expression" priority="4" aboveAverage="0" equalAverage="0" bottom="0" percent="0" rank="0" text="" dxfId="1">
      <formula>LEFT($E$33,1)="○"</formula>
    </cfRule>
    <cfRule type="expression" priority="5" aboveAverage="0" equalAverage="0" bottom="0" percent="0" rank="0" text="" dxfId="2">
      <formula>LEFT($E$33,1)="⚠"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true"/>
  </sheetPr>
  <dimension ref="A1:Q4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3"/>
    <col collapsed="false" customWidth="true" hidden="false" outlineLevel="0" max="3" min="3" style="0" width="5.51"/>
    <col collapsed="false" customWidth="true" hidden="false" outlineLevel="0" max="4" min="4" style="0" width="15"/>
    <col collapsed="false" customWidth="true" hidden="false" outlineLevel="0" max="5" min="5" style="0" width="21"/>
    <col collapsed="false" customWidth="true" hidden="false" outlineLevel="0" max="7" min="6" style="0" width="22"/>
    <col collapsed="false" customWidth="true" hidden="false" outlineLevel="0" max="8" min="8" style="0" width="14"/>
    <col collapsed="false" customWidth="true" hidden="false" outlineLevel="0" max="9" min="9" style="0" width="21"/>
    <col collapsed="false" customWidth="true" hidden="false" outlineLevel="0" max="10" min="10" style="0" width="17"/>
    <col collapsed="false" customWidth="true" hidden="false" outlineLevel="0" max="11" min="11" style="0" width="34"/>
  </cols>
  <sheetData>
    <row r="1" customFormat="false" ht="33.75" hidden="false" customHeight="true" outlineLevel="0" collapsed="false">
      <c r="A1" s="2" t="s">
        <v>118</v>
      </c>
      <c r="B1" s="2"/>
      <c r="C1" s="2"/>
      <c r="D1" s="2"/>
      <c r="E1" s="2"/>
      <c r="F1" s="2"/>
      <c r="G1" s="2"/>
      <c r="H1" s="2"/>
      <c r="I1" s="2"/>
      <c r="J1" s="28" t="str">
        <f aca="false">HYPERLINK("#Beranda!A1","⌂  Beranda")</f>
        <v>⌂  Beranda</v>
      </c>
      <c r="K1" s="28"/>
      <c r="L1" s="4"/>
      <c r="M1" s="4"/>
      <c r="N1" s="4"/>
      <c r="O1" s="4"/>
      <c r="P1" s="4"/>
      <c r="Q1" s="4"/>
    </row>
    <row r="2" customFormat="false" ht="15.75" hidden="false" customHeight="true" outlineLevel="0" collapsed="false">
      <c r="A2" s="5" t="s">
        <v>119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</row>
    <row r="3" customFormat="false" ht="25.5" hidden="false" customHeight="true" outlineLevel="0" collapsed="false">
      <c r="A3" s="53" t="s">
        <v>120</v>
      </c>
      <c r="B3" s="53"/>
      <c r="C3" s="54" t="n">
        <f aca="false">SUM(J6:J400)</f>
        <v>244050000</v>
      </c>
      <c r="D3" s="54"/>
      <c r="E3" s="53" t="s">
        <v>121</v>
      </c>
      <c r="F3" s="53"/>
      <c r="G3" s="55" t="n">
        <f aca="false">COUNT($B$6:$B$400)</f>
        <v>63</v>
      </c>
      <c r="H3" s="53" t="s">
        <v>122</v>
      </c>
      <c r="I3" s="53"/>
      <c r="J3" s="54" t="n">
        <f aca="false">IF($G$3=0,0,$C$3/$G$3)</f>
        <v>3873809.52380952</v>
      </c>
      <c r="K3" s="54"/>
      <c r="L3" s="4"/>
      <c r="M3" s="4"/>
      <c r="N3" s="4"/>
      <c r="O3" s="4"/>
      <c r="P3" s="4"/>
      <c r="Q3" s="4"/>
    </row>
    <row r="4" customFormat="false" ht="7.5" hidden="false" customHeight="true" outlineLevel="0" collapsed="false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4"/>
      <c r="M4" s="4"/>
      <c r="N4" s="4"/>
      <c r="O4" s="4"/>
      <c r="P4" s="4"/>
      <c r="Q4" s="4"/>
    </row>
    <row r="5" customFormat="false" ht="27.75" hidden="false" customHeight="true" outlineLevel="0" collapsed="false">
      <c r="A5" s="56" t="s">
        <v>123</v>
      </c>
      <c r="B5" s="56" t="s">
        <v>124</v>
      </c>
      <c r="C5" s="56" t="s">
        <v>125</v>
      </c>
      <c r="D5" s="56" t="s">
        <v>126</v>
      </c>
      <c r="E5" s="56" t="s">
        <v>127</v>
      </c>
      <c r="F5" s="56" t="s">
        <v>128</v>
      </c>
      <c r="G5" s="56" t="s">
        <v>129</v>
      </c>
      <c r="H5" s="56" t="s">
        <v>130</v>
      </c>
      <c r="I5" s="56" t="s">
        <v>131</v>
      </c>
      <c r="J5" s="56" t="s">
        <v>132</v>
      </c>
      <c r="K5" s="56" t="s">
        <v>133</v>
      </c>
      <c r="L5" s="4"/>
      <c r="M5" s="4"/>
      <c r="N5" s="4"/>
      <c r="O5" s="4"/>
      <c r="P5" s="4"/>
      <c r="Q5" s="4"/>
    </row>
    <row r="6" customFormat="false" ht="18" hidden="false" customHeight="true" outlineLevel="0" collapsed="false">
      <c r="A6" s="57" t="str">
        <f aca="false">IF($B6="","","PM-"&amp;TEXT(ROW()-5,"0000"))</f>
        <v>PM-0001</v>
      </c>
      <c r="B6" s="58" t="n">
        <v>46024</v>
      </c>
      <c r="C6" s="59" t="n">
        <f aca="false">IF($B6="","",MONTH($B6))</f>
        <v>1</v>
      </c>
      <c r="D6" s="60" t="s">
        <v>74</v>
      </c>
      <c r="E6" s="60" t="s">
        <v>52</v>
      </c>
      <c r="F6" s="60" t="s">
        <v>54</v>
      </c>
      <c r="G6" s="60" t="s">
        <v>107</v>
      </c>
      <c r="H6" s="60" t="s">
        <v>55</v>
      </c>
      <c r="I6" s="60"/>
      <c r="J6" s="61" t="n">
        <v>3250000</v>
      </c>
      <c r="K6" s="62" t="s">
        <v>134</v>
      </c>
      <c r="L6" s="4"/>
      <c r="M6" s="4"/>
      <c r="N6" s="4"/>
      <c r="O6" s="4"/>
      <c r="P6" s="4"/>
      <c r="Q6" s="4"/>
    </row>
    <row r="7" customFormat="false" ht="18" hidden="false" customHeight="true" outlineLevel="0" collapsed="false">
      <c r="A7" s="63" t="str">
        <f aca="false">IF($B7="","","PM-"&amp;TEXT(ROW()-5,"0000"))</f>
        <v>PM-0002</v>
      </c>
      <c r="B7" s="64" t="n">
        <v>46027</v>
      </c>
      <c r="C7" s="65" t="n">
        <f aca="false">IF($B7="","",MONTH($B7))</f>
        <v>1</v>
      </c>
      <c r="D7" s="66" t="s">
        <v>79</v>
      </c>
      <c r="E7" s="66" t="s">
        <v>97</v>
      </c>
      <c r="F7" s="66" t="s">
        <v>103</v>
      </c>
      <c r="G7" s="66" t="s">
        <v>57</v>
      </c>
      <c r="H7" s="66" t="s">
        <v>71</v>
      </c>
      <c r="I7" s="66" t="s">
        <v>56</v>
      </c>
      <c r="J7" s="67" t="n">
        <v>810000</v>
      </c>
      <c r="K7" s="68" t="s">
        <v>135</v>
      </c>
      <c r="L7" s="4"/>
      <c r="M7" s="4"/>
      <c r="N7" s="4"/>
      <c r="O7" s="4"/>
      <c r="P7" s="4"/>
      <c r="Q7" s="4"/>
    </row>
    <row r="8" customFormat="false" ht="18" hidden="false" customHeight="true" outlineLevel="0" collapsed="false">
      <c r="A8" s="63" t="str">
        <f aca="false">IF($B8="","","PM-"&amp;TEXT(ROW()-5,"0000"))</f>
        <v>PM-0003</v>
      </c>
      <c r="B8" s="69" t="n">
        <v>46031</v>
      </c>
      <c r="C8" s="65" t="n">
        <f aca="false">IF($B8="","",MONTH($B8))</f>
        <v>1</v>
      </c>
      <c r="D8" s="70" t="s">
        <v>74</v>
      </c>
      <c r="E8" s="70" t="s">
        <v>52</v>
      </c>
      <c r="F8" s="70" t="s">
        <v>54</v>
      </c>
      <c r="G8" s="70" t="s">
        <v>107</v>
      </c>
      <c r="H8" s="70" t="s">
        <v>55</v>
      </c>
      <c r="I8" s="70"/>
      <c r="J8" s="71" t="n">
        <v>2870000</v>
      </c>
      <c r="K8" s="72" t="s">
        <v>134</v>
      </c>
      <c r="L8" s="4"/>
      <c r="M8" s="4"/>
      <c r="N8" s="4"/>
      <c r="O8" s="4"/>
      <c r="P8" s="4"/>
      <c r="Q8" s="4"/>
    </row>
    <row r="9" customFormat="false" ht="18" hidden="false" customHeight="true" outlineLevel="0" collapsed="false">
      <c r="A9" s="63" t="str">
        <f aca="false">IF($B9="","","PM-"&amp;TEXT(ROW()-5,"0000"))</f>
        <v>PM-0004</v>
      </c>
      <c r="B9" s="64" t="n">
        <v>46037</v>
      </c>
      <c r="C9" s="65" t="n">
        <f aca="false">IF($B9="","",MONTH($B9))</f>
        <v>1</v>
      </c>
      <c r="D9" s="66" t="s">
        <v>74</v>
      </c>
      <c r="E9" s="66" t="s">
        <v>68</v>
      </c>
      <c r="F9" s="66" t="s">
        <v>54</v>
      </c>
      <c r="G9" s="66" t="s">
        <v>107</v>
      </c>
      <c r="H9" s="66" t="s">
        <v>55</v>
      </c>
      <c r="I9" s="66"/>
      <c r="J9" s="67" t="n">
        <v>1240000</v>
      </c>
      <c r="K9" s="68" t="s">
        <v>136</v>
      </c>
      <c r="L9" s="4"/>
      <c r="M9" s="4"/>
      <c r="N9" s="4"/>
      <c r="O9" s="4"/>
      <c r="P9" s="4"/>
      <c r="Q9" s="4"/>
    </row>
    <row r="10" customFormat="false" ht="18" hidden="false" customHeight="true" outlineLevel="0" collapsed="false">
      <c r="A10" s="63" t="str">
        <f aca="false">IF($B10="","","PM-"&amp;TEXT(ROW()-5,"0000"))</f>
        <v>PM-0005</v>
      </c>
      <c r="B10" s="69" t="n">
        <v>46038</v>
      </c>
      <c r="C10" s="65" t="n">
        <f aca="false">IF($B10="","",MONTH($B10))</f>
        <v>1</v>
      </c>
      <c r="D10" s="70" t="s">
        <v>74</v>
      </c>
      <c r="E10" s="70" t="s">
        <v>52</v>
      </c>
      <c r="F10" s="70" t="s">
        <v>54</v>
      </c>
      <c r="G10" s="70" t="s">
        <v>107</v>
      </c>
      <c r="H10" s="70" t="s">
        <v>55</v>
      </c>
      <c r="I10" s="70"/>
      <c r="J10" s="71" t="n">
        <v>3540000</v>
      </c>
      <c r="K10" s="72" t="s">
        <v>134</v>
      </c>
      <c r="L10" s="4"/>
      <c r="M10" s="4"/>
      <c r="N10" s="4"/>
      <c r="O10" s="4"/>
      <c r="P10" s="4"/>
      <c r="Q10" s="4"/>
    </row>
    <row r="11" customFormat="false" ht="18" hidden="false" customHeight="true" outlineLevel="0" collapsed="false">
      <c r="A11" s="63" t="str">
        <f aca="false">IF($B11="","","PM-"&amp;TEXT(ROW()-5,"0000"))</f>
        <v>PM-0006</v>
      </c>
      <c r="B11" s="64" t="n">
        <v>46042</v>
      </c>
      <c r="C11" s="65" t="n">
        <f aca="false">IF($B11="","",MONTH($B11))</f>
        <v>1</v>
      </c>
      <c r="D11" s="66" t="s">
        <v>59</v>
      </c>
      <c r="E11" s="66" t="s">
        <v>97</v>
      </c>
      <c r="F11" s="66" t="s">
        <v>63</v>
      </c>
      <c r="G11" s="66" t="s">
        <v>22</v>
      </c>
      <c r="H11" s="66" t="s">
        <v>64</v>
      </c>
      <c r="I11" s="66" t="s">
        <v>56</v>
      </c>
      <c r="J11" s="67" t="n">
        <v>5000000</v>
      </c>
      <c r="K11" s="68" t="s">
        <v>137</v>
      </c>
      <c r="L11" s="4"/>
      <c r="M11" s="4"/>
      <c r="N11" s="4"/>
      <c r="O11" s="4"/>
      <c r="P11" s="4"/>
      <c r="Q11" s="4"/>
    </row>
    <row r="12" customFormat="false" ht="18" hidden="false" customHeight="true" outlineLevel="0" collapsed="false">
      <c r="A12" s="63" t="str">
        <f aca="false">IF($B12="","","PM-"&amp;TEXT(ROW()-5,"0000"))</f>
        <v>PM-0007</v>
      </c>
      <c r="B12" s="69" t="n">
        <v>46044</v>
      </c>
      <c r="C12" s="65" t="n">
        <f aca="false">IF($B12="","",MONTH($B12))</f>
        <v>1</v>
      </c>
      <c r="D12" s="70" t="s">
        <v>91</v>
      </c>
      <c r="E12" s="70" t="s">
        <v>92</v>
      </c>
      <c r="F12" s="70" t="s">
        <v>103</v>
      </c>
      <c r="G12" s="70" t="s">
        <v>89</v>
      </c>
      <c r="H12" s="70" t="s">
        <v>64</v>
      </c>
      <c r="I12" s="70" t="s">
        <v>65</v>
      </c>
      <c r="J12" s="71" t="n">
        <v>10000000</v>
      </c>
      <c r="K12" s="72" t="s">
        <v>138</v>
      </c>
      <c r="L12" s="4"/>
      <c r="M12" s="4"/>
      <c r="N12" s="4"/>
      <c r="O12" s="4"/>
      <c r="P12" s="4"/>
      <c r="Q12" s="4"/>
    </row>
    <row r="13" customFormat="false" ht="18" hidden="false" customHeight="true" outlineLevel="0" collapsed="false">
      <c r="A13" s="63" t="str">
        <f aca="false">IF($B13="","","PM-"&amp;TEXT(ROW()-5,"0000"))</f>
        <v>PM-0008</v>
      </c>
      <c r="B13" s="64" t="n">
        <v>46045</v>
      </c>
      <c r="C13" s="65" t="n">
        <f aca="false">IF($B13="","",MONTH($B13))</f>
        <v>1</v>
      </c>
      <c r="D13" s="66" t="s">
        <v>74</v>
      </c>
      <c r="E13" s="66" t="s">
        <v>52</v>
      </c>
      <c r="F13" s="66" t="s">
        <v>54</v>
      </c>
      <c r="G13" s="66" t="s">
        <v>107</v>
      </c>
      <c r="H13" s="66" t="s">
        <v>55</v>
      </c>
      <c r="I13" s="66"/>
      <c r="J13" s="67" t="n">
        <v>3120000</v>
      </c>
      <c r="K13" s="68" t="s">
        <v>134</v>
      </c>
      <c r="L13" s="4"/>
      <c r="M13" s="4"/>
      <c r="N13" s="4"/>
      <c r="O13" s="4"/>
      <c r="P13" s="4"/>
      <c r="Q13" s="4"/>
    </row>
    <row r="14" customFormat="false" ht="18" hidden="false" customHeight="true" outlineLevel="0" collapsed="false">
      <c r="A14" s="63" t="str">
        <f aca="false">IF($B14="","","PM-"&amp;TEXT(ROW()-5,"0000"))</f>
        <v>PM-0009</v>
      </c>
      <c r="B14" s="69" t="n">
        <v>46050</v>
      </c>
      <c r="C14" s="65" t="n">
        <f aca="false">IF($B14="","",MONTH($B14))</f>
        <v>1</v>
      </c>
      <c r="D14" s="70" t="s">
        <v>50</v>
      </c>
      <c r="E14" s="70" t="s">
        <v>102</v>
      </c>
      <c r="F14" s="70" t="s">
        <v>54</v>
      </c>
      <c r="G14" s="70" t="s">
        <v>89</v>
      </c>
      <c r="H14" s="70" t="s">
        <v>64</v>
      </c>
      <c r="I14" s="70" t="s">
        <v>65</v>
      </c>
      <c r="J14" s="71" t="n">
        <v>1500000</v>
      </c>
      <c r="K14" s="72" t="s">
        <v>139</v>
      </c>
      <c r="L14" s="4"/>
      <c r="M14" s="4"/>
      <c r="N14" s="4"/>
      <c r="O14" s="4"/>
      <c r="P14" s="4"/>
      <c r="Q14" s="4"/>
    </row>
    <row r="15" customFormat="false" ht="18" hidden="false" customHeight="true" outlineLevel="0" collapsed="false">
      <c r="A15" s="63" t="str">
        <f aca="false">IF($B15="","","PM-"&amp;TEXT(ROW()-5,"0000"))</f>
        <v>PM-0010</v>
      </c>
      <c r="B15" s="64" t="n">
        <v>46052</v>
      </c>
      <c r="C15" s="65" t="n">
        <f aca="false">IF($B15="","",MONTH($B15))</f>
        <v>1</v>
      </c>
      <c r="D15" s="66" t="s">
        <v>74</v>
      </c>
      <c r="E15" s="66" t="s">
        <v>52</v>
      </c>
      <c r="F15" s="66" t="s">
        <v>54</v>
      </c>
      <c r="G15" s="66" t="s">
        <v>107</v>
      </c>
      <c r="H15" s="66" t="s">
        <v>55</v>
      </c>
      <c r="I15" s="66"/>
      <c r="J15" s="67" t="n">
        <v>2950000</v>
      </c>
      <c r="K15" s="68" t="s">
        <v>134</v>
      </c>
      <c r="L15" s="4"/>
      <c r="M15" s="4"/>
      <c r="N15" s="4"/>
      <c r="O15" s="4"/>
      <c r="P15" s="4"/>
      <c r="Q15" s="4"/>
    </row>
    <row r="16" customFormat="false" ht="18" hidden="false" customHeight="true" outlineLevel="0" collapsed="false">
      <c r="A16" s="63" t="str">
        <f aca="false">IF($B16="","","PM-"&amp;TEXT(ROW()-5,"0000"))</f>
        <v>PM-0011</v>
      </c>
      <c r="B16" s="69" t="n">
        <v>46058</v>
      </c>
      <c r="C16" s="65" t="n">
        <f aca="false">IF($B16="","",MONTH($B16))</f>
        <v>2</v>
      </c>
      <c r="D16" s="70" t="s">
        <v>79</v>
      </c>
      <c r="E16" s="70" t="s">
        <v>97</v>
      </c>
      <c r="F16" s="70" t="s">
        <v>103</v>
      </c>
      <c r="G16" s="70" t="s">
        <v>57</v>
      </c>
      <c r="H16" s="70" t="s">
        <v>71</v>
      </c>
      <c r="I16" s="70" t="s">
        <v>56</v>
      </c>
      <c r="J16" s="71" t="n">
        <v>870000</v>
      </c>
      <c r="K16" s="72" t="s">
        <v>135</v>
      </c>
      <c r="L16" s="4"/>
      <c r="M16" s="4"/>
      <c r="N16" s="4"/>
      <c r="O16" s="4"/>
      <c r="P16" s="4"/>
      <c r="Q16" s="4"/>
    </row>
    <row r="17" customFormat="false" ht="18" hidden="false" customHeight="true" outlineLevel="0" collapsed="false">
      <c r="A17" s="63" t="str">
        <f aca="false">IF($B17="","","PM-"&amp;TEXT(ROW()-5,"0000"))</f>
        <v>PM-0012</v>
      </c>
      <c r="B17" s="64" t="n">
        <v>46059</v>
      </c>
      <c r="C17" s="65" t="n">
        <f aca="false">IF($B17="","",MONTH($B17))</f>
        <v>2</v>
      </c>
      <c r="D17" s="66" t="s">
        <v>74</v>
      </c>
      <c r="E17" s="66" t="s">
        <v>52</v>
      </c>
      <c r="F17" s="66" t="s">
        <v>54</v>
      </c>
      <c r="G17" s="66" t="s">
        <v>107</v>
      </c>
      <c r="H17" s="66" t="s">
        <v>55</v>
      </c>
      <c r="I17" s="66"/>
      <c r="J17" s="67" t="n">
        <v>3680000</v>
      </c>
      <c r="K17" s="68" t="s">
        <v>134</v>
      </c>
      <c r="L17" s="4"/>
      <c r="M17" s="4"/>
      <c r="N17" s="4"/>
      <c r="O17" s="4"/>
      <c r="P17" s="4"/>
      <c r="Q17" s="4"/>
    </row>
    <row r="18" customFormat="false" ht="18" hidden="false" customHeight="true" outlineLevel="0" collapsed="false">
      <c r="A18" s="63" t="str">
        <f aca="false">IF($B18="","","PM-"&amp;TEXT(ROW()-5,"0000"))</f>
        <v>PM-0013</v>
      </c>
      <c r="B18" s="69" t="n">
        <v>46066</v>
      </c>
      <c r="C18" s="65" t="n">
        <f aca="false">IF($B18="","",MONTH($B18))</f>
        <v>2</v>
      </c>
      <c r="D18" s="70" t="s">
        <v>74</v>
      </c>
      <c r="E18" s="70" t="s">
        <v>52</v>
      </c>
      <c r="F18" s="70" t="s">
        <v>54</v>
      </c>
      <c r="G18" s="70" t="s">
        <v>107</v>
      </c>
      <c r="H18" s="70" t="s">
        <v>55</v>
      </c>
      <c r="I18" s="70"/>
      <c r="J18" s="71" t="n">
        <v>3410000</v>
      </c>
      <c r="K18" s="72" t="s">
        <v>134</v>
      </c>
      <c r="L18" s="4"/>
      <c r="M18" s="4"/>
      <c r="N18" s="4"/>
      <c r="O18" s="4"/>
      <c r="P18" s="4"/>
      <c r="Q18" s="4"/>
    </row>
    <row r="19" customFormat="false" ht="18" hidden="false" customHeight="true" outlineLevel="0" collapsed="false">
      <c r="A19" s="63" t="str">
        <f aca="false">IF($B19="","","PM-"&amp;TEXT(ROW()-5,"0000"))</f>
        <v>PM-0014</v>
      </c>
      <c r="B19" s="64" t="n">
        <v>46068</v>
      </c>
      <c r="C19" s="65" t="n">
        <f aca="false">IF($B19="","",MONTH($B19))</f>
        <v>2</v>
      </c>
      <c r="D19" s="66" t="s">
        <v>74</v>
      </c>
      <c r="E19" s="66" t="s">
        <v>68</v>
      </c>
      <c r="F19" s="66" t="s">
        <v>54</v>
      </c>
      <c r="G19" s="66" t="s">
        <v>107</v>
      </c>
      <c r="H19" s="66" t="s">
        <v>55</v>
      </c>
      <c r="I19" s="66"/>
      <c r="J19" s="67" t="n">
        <v>1330000</v>
      </c>
      <c r="K19" s="68" t="s">
        <v>136</v>
      </c>
      <c r="L19" s="4"/>
      <c r="M19" s="4"/>
      <c r="N19" s="4"/>
      <c r="O19" s="4"/>
      <c r="P19" s="4"/>
      <c r="Q19" s="4"/>
    </row>
    <row r="20" customFormat="false" ht="18" hidden="false" customHeight="true" outlineLevel="0" collapsed="false">
      <c r="A20" s="63" t="str">
        <f aca="false">IF($B20="","","PM-"&amp;TEXT(ROW()-5,"0000"))</f>
        <v>PM-0015</v>
      </c>
      <c r="B20" s="69" t="n">
        <v>46073</v>
      </c>
      <c r="C20" s="65" t="n">
        <f aca="false">IF($B20="","",MONTH($B20))</f>
        <v>2</v>
      </c>
      <c r="D20" s="70" t="s">
        <v>74</v>
      </c>
      <c r="E20" s="70" t="s">
        <v>52</v>
      </c>
      <c r="F20" s="70" t="s">
        <v>54</v>
      </c>
      <c r="G20" s="70" t="s">
        <v>107</v>
      </c>
      <c r="H20" s="70" t="s">
        <v>55</v>
      </c>
      <c r="I20" s="70"/>
      <c r="J20" s="71" t="n">
        <v>2760000</v>
      </c>
      <c r="K20" s="72" t="s">
        <v>134</v>
      </c>
      <c r="L20" s="4"/>
      <c r="M20" s="4"/>
      <c r="N20" s="4"/>
      <c r="O20" s="4"/>
      <c r="P20" s="4"/>
      <c r="Q20" s="4"/>
    </row>
    <row r="21" customFormat="false" ht="18" hidden="false" customHeight="true" outlineLevel="0" collapsed="false">
      <c r="A21" s="63" t="str">
        <f aca="false">IF($B21="","","PM-"&amp;TEXT(ROW()-5,"0000"))</f>
        <v>PM-0016</v>
      </c>
      <c r="B21" s="64" t="n">
        <v>46073</v>
      </c>
      <c r="C21" s="65" t="n">
        <f aca="false">IF($B21="","",MONTH($B21))</f>
        <v>2</v>
      </c>
      <c r="D21" s="66" t="s">
        <v>59</v>
      </c>
      <c r="E21" s="66" t="s">
        <v>97</v>
      </c>
      <c r="F21" s="66" t="s">
        <v>63</v>
      </c>
      <c r="G21" s="66" t="s">
        <v>22</v>
      </c>
      <c r="H21" s="66" t="s">
        <v>64</v>
      </c>
      <c r="I21" s="66" t="s">
        <v>56</v>
      </c>
      <c r="J21" s="67" t="n">
        <v>5000000</v>
      </c>
      <c r="K21" s="68" t="s">
        <v>137</v>
      </c>
      <c r="L21" s="4"/>
      <c r="M21" s="4"/>
      <c r="N21" s="4"/>
      <c r="O21" s="4"/>
      <c r="P21" s="4"/>
      <c r="Q21" s="4"/>
    </row>
    <row r="22" customFormat="false" ht="18" hidden="false" customHeight="true" outlineLevel="0" collapsed="false">
      <c r="A22" s="63" t="str">
        <f aca="false">IF($B22="","","PM-"&amp;TEXT(ROW()-5,"0000"))</f>
        <v>PM-0017</v>
      </c>
      <c r="B22" s="69" t="n">
        <v>46073</v>
      </c>
      <c r="C22" s="65" t="n">
        <f aca="false">IF($B22="","",MONTH($B22))</f>
        <v>2</v>
      </c>
      <c r="D22" s="70" t="s">
        <v>59</v>
      </c>
      <c r="E22" s="70" t="s">
        <v>97</v>
      </c>
      <c r="F22" s="70" t="s">
        <v>70</v>
      </c>
      <c r="G22" s="70" t="s">
        <v>72</v>
      </c>
      <c r="H22" s="70" t="s">
        <v>64</v>
      </c>
      <c r="I22" s="70" t="s">
        <v>56</v>
      </c>
      <c r="J22" s="71" t="n">
        <v>7500000</v>
      </c>
      <c r="K22" s="72" t="s">
        <v>140</v>
      </c>
      <c r="L22" s="4"/>
      <c r="M22" s="4"/>
      <c r="N22" s="4"/>
      <c r="O22" s="4"/>
      <c r="P22" s="4"/>
      <c r="Q22" s="4"/>
    </row>
    <row r="23" customFormat="false" ht="18" hidden="false" customHeight="true" outlineLevel="0" collapsed="false">
      <c r="A23" s="63" t="str">
        <f aca="false">IF($B23="","","PM-"&amp;TEXT(ROW()-5,"0000"))</f>
        <v>PM-0018</v>
      </c>
      <c r="B23" s="64" t="n">
        <v>46078</v>
      </c>
      <c r="C23" s="65" t="n">
        <f aca="false">IF($B23="","",MONTH($B23))</f>
        <v>2</v>
      </c>
      <c r="D23" s="66" t="s">
        <v>74</v>
      </c>
      <c r="E23" s="66" t="s">
        <v>61</v>
      </c>
      <c r="F23" s="66" t="s">
        <v>94</v>
      </c>
      <c r="G23" s="66" t="s">
        <v>107</v>
      </c>
      <c r="H23" s="66" t="s">
        <v>55</v>
      </c>
      <c r="I23" s="66"/>
      <c r="J23" s="67" t="n">
        <v>3920000</v>
      </c>
      <c r="K23" s="68" t="s">
        <v>141</v>
      </c>
      <c r="L23" s="4"/>
      <c r="M23" s="4"/>
      <c r="N23" s="4"/>
      <c r="O23" s="4"/>
      <c r="P23" s="4"/>
      <c r="Q23" s="4"/>
    </row>
    <row r="24" customFormat="false" ht="18" hidden="false" customHeight="true" outlineLevel="0" collapsed="false">
      <c r="A24" s="63" t="str">
        <f aca="false">IF($B24="","","PM-"&amp;TEXT(ROW()-5,"0000"))</f>
        <v>PM-0019</v>
      </c>
      <c r="B24" s="69" t="n">
        <v>46080</v>
      </c>
      <c r="C24" s="65" t="n">
        <f aca="false">IF($B24="","",MONTH($B24))</f>
        <v>2</v>
      </c>
      <c r="D24" s="70" t="s">
        <v>74</v>
      </c>
      <c r="E24" s="70" t="s">
        <v>52</v>
      </c>
      <c r="F24" s="70" t="s">
        <v>54</v>
      </c>
      <c r="G24" s="70" t="s">
        <v>107</v>
      </c>
      <c r="H24" s="70" t="s">
        <v>55</v>
      </c>
      <c r="I24" s="70"/>
      <c r="J24" s="71" t="n">
        <v>3890000</v>
      </c>
      <c r="K24" s="72" t="s">
        <v>134</v>
      </c>
      <c r="L24" s="4"/>
      <c r="M24" s="4"/>
      <c r="N24" s="4"/>
      <c r="O24" s="4"/>
      <c r="P24" s="4"/>
      <c r="Q24" s="4"/>
    </row>
    <row r="25" customFormat="false" ht="18" hidden="false" customHeight="true" outlineLevel="0" collapsed="false">
      <c r="A25" s="63" t="str">
        <f aca="false">IF($B25="","","PM-"&amp;TEXT(ROW()-5,"0000"))</f>
        <v>PM-0020</v>
      </c>
      <c r="B25" s="64" t="n">
        <v>46081</v>
      </c>
      <c r="C25" s="65" t="n">
        <f aca="false">IF($B25="","",MONTH($B25))</f>
        <v>2</v>
      </c>
      <c r="D25" s="66" t="s">
        <v>50</v>
      </c>
      <c r="E25" s="66" t="s">
        <v>102</v>
      </c>
      <c r="F25" s="66" t="s">
        <v>54</v>
      </c>
      <c r="G25" s="66" t="s">
        <v>89</v>
      </c>
      <c r="H25" s="66" t="s">
        <v>64</v>
      </c>
      <c r="I25" s="66" t="s">
        <v>65</v>
      </c>
      <c r="J25" s="67" t="n">
        <v>1500000</v>
      </c>
      <c r="K25" s="68" t="s">
        <v>139</v>
      </c>
      <c r="L25" s="4"/>
      <c r="M25" s="4"/>
      <c r="N25" s="4"/>
      <c r="O25" s="4"/>
      <c r="P25" s="4"/>
      <c r="Q25" s="4"/>
    </row>
    <row r="26" customFormat="false" ht="18" hidden="false" customHeight="true" outlineLevel="0" collapsed="false">
      <c r="A26" s="63" t="str">
        <f aca="false">IF($B26="","","PM-"&amp;TEXT(ROW()-5,"0000"))</f>
        <v>PM-0021</v>
      </c>
      <c r="B26" s="69" t="n">
        <v>46085</v>
      </c>
      <c r="C26" s="65" t="n">
        <f aca="false">IF($B26="","",MONTH($B26))</f>
        <v>3</v>
      </c>
      <c r="D26" s="70" t="s">
        <v>74</v>
      </c>
      <c r="E26" s="70" t="s">
        <v>61</v>
      </c>
      <c r="F26" s="70" t="s">
        <v>94</v>
      </c>
      <c r="G26" s="70" t="s">
        <v>107</v>
      </c>
      <c r="H26" s="70" t="s">
        <v>55</v>
      </c>
      <c r="I26" s="70"/>
      <c r="J26" s="71" t="n">
        <v>4310000</v>
      </c>
      <c r="K26" s="72" t="s">
        <v>142</v>
      </c>
      <c r="L26" s="4"/>
      <c r="M26" s="4"/>
      <c r="N26" s="4"/>
      <c r="O26" s="4"/>
      <c r="P26" s="4"/>
      <c r="Q26" s="4"/>
    </row>
    <row r="27" customFormat="false" ht="18" hidden="false" customHeight="true" outlineLevel="0" collapsed="false">
      <c r="A27" s="63" t="str">
        <f aca="false">IF($B27="","","PM-"&amp;TEXT(ROW()-5,"0000"))</f>
        <v>PM-0022</v>
      </c>
      <c r="B27" s="64" t="n">
        <v>46086</v>
      </c>
      <c r="C27" s="65" t="n">
        <f aca="false">IF($B27="","",MONTH($B27))</f>
        <v>3</v>
      </c>
      <c r="D27" s="66" t="s">
        <v>79</v>
      </c>
      <c r="E27" s="66" t="s">
        <v>97</v>
      </c>
      <c r="F27" s="66" t="s">
        <v>103</v>
      </c>
      <c r="G27" s="66" t="s">
        <v>57</v>
      </c>
      <c r="H27" s="66" t="s">
        <v>71</v>
      </c>
      <c r="I27" s="66" t="s">
        <v>56</v>
      </c>
      <c r="J27" s="67" t="n">
        <v>930000</v>
      </c>
      <c r="K27" s="68" t="s">
        <v>135</v>
      </c>
      <c r="L27" s="4"/>
      <c r="M27" s="4"/>
      <c r="N27" s="4"/>
      <c r="O27" s="4"/>
      <c r="P27" s="4"/>
      <c r="Q27" s="4"/>
    </row>
    <row r="28" customFormat="false" ht="18" hidden="false" customHeight="true" outlineLevel="0" collapsed="false">
      <c r="A28" s="63" t="str">
        <f aca="false">IF($B28="","","PM-"&amp;TEXT(ROW()-5,"0000"))</f>
        <v>PM-0023</v>
      </c>
      <c r="B28" s="69" t="n">
        <v>46087</v>
      </c>
      <c r="C28" s="65" t="n">
        <f aca="false">IF($B28="","",MONTH($B28))</f>
        <v>3</v>
      </c>
      <c r="D28" s="70" t="s">
        <v>74</v>
      </c>
      <c r="E28" s="70" t="s">
        <v>52</v>
      </c>
      <c r="F28" s="70" t="s">
        <v>54</v>
      </c>
      <c r="G28" s="70" t="s">
        <v>107</v>
      </c>
      <c r="H28" s="70" t="s">
        <v>55</v>
      </c>
      <c r="I28" s="70"/>
      <c r="J28" s="71" t="n">
        <v>3220000</v>
      </c>
      <c r="K28" s="72" t="s">
        <v>134</v>
      </c>
      <c r="L28" s="4"/>
      <c r="M28" s="4"/>
      <c r="N28" s="4"/>
      <c r="O28" s="4"/>
      <c r="P28" s="4"/>
      <c r="Q28" s="4"/>
    </row>
    <row r="29" customFormat="false" ht="18" hidden="false" customHeight="true" outlineLevel="0" collapsed="false">
      <c r="A29" s="63" t="str">
        <f aca="false">IF($B29="","","PM-"&amp;TEXT(ROW()-5,"0000"))</f>
        <v>PM-0024</v>
      </c>
      <c r="B29" s="64" t="n">
        <v>46091</v>
      </c>
      <c r="C29" s="65" t="n">
        <f aca="false">IF($B29="","",MONTH($B29))</f>
        <v>3</v>
      </c>
      <c r="D29" s="66" t="s">
        <v>67</v>
      </c>
      <c r="E29" s="66" t="s">
        <v>80</v>
      </c>
      <c r="F29" s="66" t="s">
        <v>103</v>
      </c>
      <c r="G29" s="66" t="s">
        <v>25</v>
      </c>
      <c r="H29" s="66" t="s">
        <v>64</v>
      </c>
      <c r="I29" s="66" t="s">
        <v>56</v>
      </c>
      <c r="J29" s="67" t="n">
        <v>6250000</v>
      </c>
      <c r="K29" s="68" t="s">
        <v>143</v>
      </c>
      <c r="L29" s="4"/>
      <c r="M29" s="4"/>
      <c r="N29" s="4"/>
      <c r="O29" s="4"/>
      <c r="P29" s="4"/>
      <c r="Q29" s="4"/>
    </row>
    <row r="30" customFormat="false" ht="18" hidden="false" customHeight="true" outlineLevel="0" collapsed="false">
      <c r="A30" s="63" t="str">
        <f aca="false">IF($B30="","","PM-"&amp;TEXT(ROW()-5,"0000"))</f>
        <v>PM-0025</v>
      </c>
      <c r="B30" s="69" t="n">
        <v>46093</v>
      </c>
      <c r="C30" s="65" t="n">
        <f aca="false">IF($B30="","",MONTH($B30))</f>
        <v>3</v>
      </c>
      <c r="D30" s="70" t="s">
        <v>74</v>
      </c>
      <c r="E30" s="70" t="s">
        <v>61</v>
      </c>
      <c r="F30" s="70" t="s">
        <v>94</v>
      </c>
      <c r="G30" s="70" t="s">
        <v>107</v>
      </c>
      <c r="H30" s="70" t="s">
        <v>55</v>
      </c>
      <c r="I30" s="70"/>
      <c r="J30" s="71" t="n">
        <v>4680000</v>
      </c>
      <c r="K30" s="72" t="s">
        <v>144</v>
      </c>
      <c r="L30" s="4"/>
      <c r="M30" s="4"/>
      <c r="N30" s="4"/>
      <c r="O30" s="4"/>
      <c r="P30" s="4"/>
      <c r="Q30" s="4"/>
    </row>
    <row r="31" customFormat="false" ht="18" hidden="false" customHeight="true" outlineLevel="0" collapsed="false">
      <c r="A31" s="63" t="str">
        <f aca="false">IF($B31="","","PM-"&amp;TEXT(ROW()-5,"0000"))</f>
        <v>PM-0026</v>
      </c>
      <c r="B31" s="64" t="n">
        <v>46094</v>
      </c>
      <c r="C31" s="65" t="n">
        <f aca="false">IF($B31="","",MONTH($B31))</f>
        <v>3</v>
      </c>
      <c r="D31" s="66" t="s">
        <v>74</v>
      </c>
      <c r="E31" s="66" t="s">
        <v>52</v>
      </c>
      <c r="F31" s="66" t="s">
        <v>54</v>
      </c>
      <c r="G31" s="66" t="s">
        <v>107</v>
      </c>
      <c r="H31" s="66" t="s">
        <v>55</v>
      </c>
      <c r="I31" s="66"/>
      <c r="J31" s="67" t="n">
        <v>3050000</v>
      </c>
      <c r="K31" s="68" t="s">
        <v>134</v>
      </c>
      <c r="L31" s="4"/>
      <c r="M31" s="4"/>
      <c r="N31" s="4"/>
      <c r="O31" s="4"/>
      <c r="P31" s="4"/>
      <c r="Q31" s="4"/>
    </row>
    <row r="32" customFormat="false" ht="18" hidden="false" customHeight="true" outlineLevel="0" collapsed="false">
      <c r="A32" s="63" t="str">
        <f aca="false">IF($B32="","","PM-"&amp;TEXT(ROW()-5,"0000"))</f>
        <v>PM-0027</v>
      </c>
      <c r="B32" s="69" t="n">
        <v>46095</v>
      </c>
      <c r="C32" s="65" t="n">
        <f aca="false">IF($B32="","",MONTH($B32))</f>
        <v>3</v>
      </c>
      <c r="D32" s="70" t="s">
        <v>67</v>
      </c>
      <c r="E32" s="70" t="s">
        <v>75</v>
      </c>
      <c r="F32" s="70" t="s">
        <v>94</v>
      </c>
      <c r="G32" s="70" t="s">
        <v>107</v>
      </c>
      <c r="H32" s="70" t="s">
        <v>55</v>
      </c>
      <c r="I32" s="70"/>
      <c r="J32" s="71" t="n">
        <v>9800000</v>
      </c>
      <c r="K32" s="72" t="s">
        <v>145</v>
      </c>
      <c r="L32" s="4"/>
      <c r="M32" s="4"/>
      <c r="N32" s="4"/>
      <c r="O32" s="4"/>
      <c r="P32" s="4"/>
      <c r="Q32" s="4"/>
    </row>
    <row r="33" customFormat="false" ht="18" hidden="false" customHeight="true" outlineLevel="0" collapsed="false">
      <c r="A33" s="63" t="str">
        <f aca="false">IF($B33="","","PM-"&amp;TEXT(ROW()-5,"0000"))</f>
        <v>PM-0028</v>
      </c>
      <c r="B33" s="64" t="n">
        <v>46096</v>
      </c>
      <c r="C33" s="65" t="n">
        <f aca="false">IF($B33="","",MONTH($B33))</f>
        <v>3</v>
      </c>
      <c r="D33" s="66" t="s">
        <v>74</v>
      </c>
      <c r="E33" s="66" t="s">
        <v>68</v>
      </c>
      <c r="F33" s="66" t="s">
        <v>54</v>
      </c>
      <c r="G33" s="66" t="s">
        <v>107</v>
      </c>
      <c r="H33" s="66" t="s">
        <v>55</v>
      </c>
      <c r="I33" s="66"/>
      <c r="J33" s="67" t="n">
        <v>1420000</v>
      </c>
      <c r="K33" s="68" t="s">
        <v>136</v>
      </c>
      <c r="L33" s="4"/>
      <c r="M33" s="4"/>
      <c r="N33" s="4"/>
      <c r="O33" s="4"/>
      <c r="P33" s="4"/>
      <c r="Q33" s="4"/>
    </row>
    <row r="34" customFormat="false" ht="18" hidden="false" customHeight="true" outlineLevel="0" collapsed="false">
      <c r="A34" s="63" t="str">
        <f aca="false">IF($B34="","","PM-"&amp;TEXT(ROW()-5,"0000"))</f>
        <v>PM-0029</v>
      </c>
      <c r="B34" s="69" t="n">
        <v>46097</v>
      </c>
      <c r="C34" s="65" t="n">
        <f aca="false">IF($B34="","",MONTH($B34))</f>
        <v>3</v>
      </c>
      <c r="D34" s="70" t="s">
        <v>67</v>
      </c>
      <c r="E34" s="70" t="s">
        <v>75</v>
      </c>
      <c r="F34" s="70" t="s">
        <v>94</v>
      </c>
      <c r="G34" s="70" t="s">
        <v>107</v>
      </c>
      <c r="H34" s="70" t="s">
        <v>55</v>
      </c>
      <c r="I34" s="70"/>
      <c r="J34" s="71" t="n">
        <v>7350000</v>
      </c>
      <c r="K34" s="72" t="s">
        <v>146</v>
      </c>
      <c r="L34" s="4"/>
      <c r="M34" s="4"/>
      <c r="N34" s="4"/>
      <c r="O34" s="4"/>
      <c r="P34" s="4"/>
      <c r="Q34" s="4"/>
    </row>
    <row r="35" customFormat="false" ht="18" hidden="false" customHeight="true" outlineLevel="0" collapsed="false">
      <c r="A35" s="63" t="str">
        <f aca="false">IF($B35="","","PM-"&amp;TEXT(ROW()-5,"0000"))</f>
        <v>PM-0030</v>
      </c>
      <c r="B35" s="64" t="n">
        <v>46101</v>
      </c>
      <c r="C35" s="65" t="n">
        <f aca="false">IF($B35="","",MONTH($B35))</f>
        <v>3</v>
      </c>
      <c r="D35" s="66" t="s">
        <v>74</v>
      </c>
      <c r="E35" s="66" t="s">
        <v>52</v>
      </c>
      <c r="F35" s="66" t="s">
        <v>54</v>
      </c>
      <c r="G35" s="66" t="s">
        <v>107</v>
      </c>
      <c r="H35" s="66" t="s">
        <v>55</v>
      </c>
      <c r="I35" s="66"/>
      <c r="J35" s="67" t="n">
        <v>3470000</v>
      </c>
      <c r="K35" s="68" t="s">
        <v>134</v>
      </c>
      <c r="L35" s="4"/>
      <c r="M35" s="4"/>
      <c r="N35" s="4"/>
      <c r="O35" s="4"/>
      <c r="P35" s="4"/>
      <c r="Q35" s="4"/>
    </row>
    <row r="36" customFormat="false" ht="18" hidden="false" customHeight="true" outlineLevel="0" collapsed="false">
      <c r="A36" s="63" t="str">
        <f aca="false">IF($B36="","","PM-"&amp;TEXT(ROW()-5,"0000"))</f>
        <v>PM-0031</v>
      </c>
      <c r="B36" s="69" t="n">
        <v>46101</v>
      </c>
      <c r="C36" s="65" t="n">
        <f aca="false">IF($B36="","",MONTH($B36))</f>
        <v>3</v>
      </c>
      <c r="D36" s="70" t="s">
        <v>59</v>
      </c>
      <c r="E36" s="70" t="s">
        <v>97</v>
      </c>
      <c r="F36" s="70" t="s">
        <v>63</v>
      </c>
      <c r="G36" s="70" t="s">
        <v>22</v>
      </c>
      <c r="H36" s="70" t="s">
        <v>64</v>
      </c>
      <c r="I36" s="70" t="s">
        <v>56</v>
      </c>
      <c r="J36" s="71" t="n">
        <v>5000000</v>
      </c>
      <c r="K36" s="72" t="s">
        <v>137</v>
      </c>
      <c r="L36" s="4"/>
      <c r="M36" s="4"/>
      <c r="N36" s="4"/>
      <c r="O36" s="4"/>
      <c r="P36" s="4"/>
      <c r="Q36" s="4"/>
    </row>
    <row r="37" customFormat="false" ht="18" hidden="false" customHeight="true" outlineLevel="0" collapsed="false">
      <c r="A37" s="63" t="str">
        <f aca="false">IF($B37="","","PM-"&amp;TEXT(ROW()-5,"0000"))</f>
        <v>PM-0032</v>
      </c>
      <c r="B37" s="64" t="n">
        <v>46108</v>
      </c>
      <c r="C37" s="65" t="n">
        <f aca="false">IF($B37="","",MONTH($B37))</f>
        <v>3</v>
      </c>
      <c r="D37" s="66" t="s">
        <v>74</v>
      </c>
      <c r="E37" s="66" t="s">
        <v>52</v>
      </c>
      <c r="F37" s="66" t="s">
        <v>54</v>
      </c>
      <c r="G37" s="66" t="s">
        <v>107</v>
      </c>
      <c r="H37" s="66" t="s">
        <v>55</v>
      </c>
      <c r="I37" s="66"/>
      <c r="J37" s="67" t="n">
        <v>3610000</v>
      </c>
      <c r="K37" s="68" t="s">
        <v>134</v>
      </c>
      <c r="L37" s="4"/>
      <c r="M37" s="4"/>
      <c r="N37" s="4"/>
      <c r="O37" s="4"/>
      <c r="P37" s="4"/>
      <c r="Q37" s="4"/>
    </row>
    <row r="38" customFormat="false" ht="18" hidden="false" customHeight="true" outlineLevel="0" collapsed="false">
      <c r="A38" s="63" t="str">
        <f aca="false">IF($B38="","","PM-"&amp;TEXT(ROW()-5,"0000"))</f>
        <v>PM-0033</v>
      </c>
      <c r="B38" s="69" t="n">
        <v>46109</v>
      </c>
      <c r="C38" s="65" t="n">
        <f aca="false">IF($B38="","",MONTH($B38))</f>
        <v>3</v>
      </c>
      <c r="D38" s="70" t="s">
        <v>50</v>
      </c>
      <c r="E38" s="70" t="s">
        <v>102</v>
      </c>
      <c r="F38" s="70" t="s">
        <v>54</v>
      </c>
      <c r="G38" s="70" t="s">
        <v>89</v>
      </c>
      <c r="H38" s="70" t="s">
        <v>64</v>
      </c>
      <c r="I38" s="70" t="s">
        <v>65</v>
      </c>
      <c r="J38" s="71" t="n">
        <v>1500000</v>
      </c>
      <c r="K38" s="72" t="s">
        <v>139</v>
      </c>
      <c r="L38" s="4"/>
      <c r="M38" s="4"/>
      <c r="N38" s="4"/>
      <c r="O38" s="4"/>
      <c r="P38" s="4"/>
      <c r="Q38" s="4"/>
    </row>
    <row r="39" customFormat="false" ht="18" hidden="false" customHeight="true" outlineLevel="0" collapsed="false">
      <c r="A39" s="63" t="str">
        <f aca="false">IF($B39="","","PM-"&amp;TEXT(ROW()-5,"0000"))</f>
        <v>PM-0034</v>
      </c>
      <c r="B39" s="64" t="n">
        <v>46115</v>
      </c>
      <c r="C39" s="65" t="n">
        <f aca="false">IF($B39="","",MONTH($B39))</f>
        <v>4</v>
      </c>
      <c r="D39" s="66" t="s">
        <v>74</v>
      </c>
      <c r="E39" s="66" t="s">
        <v>52</v>
      </c>
      <c r="F39" s="66" t="s">
        <v>54</v>
      </c>
      <c r="G39" s="66" t="s">
        <v>107</v>
      </c>
      <c r="H39" s="66" t="s">
        <v>55</v>
      </c>
      <c r="I39" s="66"/>
      <c r="J39" s="67" t="n">
        <v>2980000</v>
      </c>
      <c r="K39" s="68" t="s">
        <v>134</v>
      </c>
      <c r="L39" s="4"/>
      <c r="M39" s="4"/>
      <c r="N39" s="4"/>
      <c r="O39" s="4"/>
      <c r="P39" s="4"/>
      <c r="Q39" s="4"/>
    </row>
    <row r="40" customFormat="false" ht="18" hidden="false" customHeight="true" outlineLevel="0" collapsed="false">
      <c r="A40" s="63" t="str">
        <f aca="false">IF($B40="","","PM-"&amp;TEXT(ROW()-5,"0000"))</f>
        <v>PM-0035</v>
      </c>
      <c r="B40" s="69" t="n">
        <v>46117</v>
      </c>
      <c r="C40" s="65" t="n">
        <f aca="false">IF($B40="","",MONTH($B40))</f>
        <v>4</v>
      </c>
      <c r="D40" s="70" t="s">
        <v>79</v>
      </c>
      <c r="E40" s="70" t="s">
        <v>97</v>
      </c>
      <c r="F40" s="70" t="s">
        <v>103</v>
      </c>
      <c r="G40" s="70" t="s">
        <v>57</v>
      </c>
      <c r="H40" s="70" t="s">
        <v>71</v>
      </c>
      <c r="I40" s="70" t="s">
        <v>56</v>
      </c>
      <c r="J40" s="71" t="n">
        <v>990000</v>
      </c>
      <c r="K40" s="72" t="s">
        <v>135</v>
      </c>
      <c r="L40" s="4"/>
      <c r="M40" s="4"/>
      <c r="N40" s="4"/>
      <c r="O40" s="4"/>
      <c r="P40" s="4"/>
      <c r="Q40" s="4"/>
    </row>
    <row r="41" customFormat="false" ht="18" hidden="false" customHeight="true" outlineLevel="0" collapsed="false">
      <c r="A41" s="63" t="str">
        <f aca="false">IF($B41="","","PM-"&amp;TEXT(ROW()-5,"0000"))</f>
        <v>PM-0036</v>
      </c>
      <c r="B41" s="64" t="n">
        <v>46120</v>
      </c>
      <c r="C41" s="65" t="n">
        <f aca="false">IF($B41="","",MONTH($B41))</f>
        <v>4</v>
      </c>
      <c r="D41" s="66" t="s">
        <v>85</v>
      </c>
      <c r="E41" s="66" t="s">
        <v>86</v>
      </c>
      <c r="F41" s="66" t="s">
        <v>63</v>
      </c>
      <c r="G41" s="66" t="s">
        <v>104</v>
      </c>
      <c r="H41" s="66" t="s">
        <v>64</v>
      </c>
      <c r="I41" s="66" t="s">
        <v>56</v>
      </c>
      <c r="J41" s="67" t="n">
        <v>15000000</v>
      </c>
      <c r="K41" s="68" t="s">
        <v>147</v>
      </c>
      <c r="L41" s="4"/>
      <c r="M41" s="4"/>
      <c r="N41" s="4"/>
      <c r="O41" s="4"/>
      <c r="P41" s="4"/>
      <c r="Q41" s="4"/>
    </row>
    <row r="42" customFormat="false" ht="18" hidden="false" customHeight="true" outlineLevel="0" collapsed="false">
      <c r="A42" s="63" t="str">
        <f aca="false">IF($B42="","","PM-"&amp;TEXT(ROW()-5,"0000"))</f>
        <v>PM-0037</v>
      </c>
      <c r="B42" s="69" t="n">
        <v>46122</v>
      </c>
      <c r="C42" s="65" t="n">
        <f aca="false">IF($B42="","",MONTH($B42))</f>
        <v>4</v>
      </c>
      <c r="D42" s="70" t="s">
        <v>74</v>
      </c>
      <c r="E42" s="70" t="s">
        <v>52</v>
      </c>
      <c r="F42" s="70" t="s">
        <v>54</v>
      </c>
      <c r="G42" s="70" t="s">
        <v>107</v>
      </c>
      <c r="H42" s="70" t="s">
        <v>55</v>
      </c>
      <c r="I42" s="70"/>
      <c r="J42" s="71" t="n">
        <v>4150000</v>
      </c>
      <c r="K42" s="72" t="s">
        <v>134</v>
      </c>
      <c r="L42" s="4"/>
      <c r="M42" s="4"/>
      <c r="N42" s="4"/>
      <c r="O42" s="4"/>
      <c r="P42" s="4"/>
      <c r="Q42" s="4"/>
    </row>
    <row r="43" customFormat="false" ht="18" hidden="false" customHeight="true" outlineLevel="0" collapsed="false">
      <c r="A43" s="63" t="str">
        <f aca="false">IF($B43="","","PM-"&amp;TEXT(ROW()-5,"0000"))</f>
        <v>PM-0038</v>
      </c>
      <c r="B43" s="64" t="n">
        <v>46127</v>
      </c>
      <c r="C43" s="65" t="n">
        <f aca="false">IF($B43="","",MONTH($B43))</f>
        <v>4</v>
      </c>
      <c r="D43" s="66" t="s">
        <v>74</v>
      </c>
      <c r="E43" s="66" t="s">
        <v>68</v>
      </c>
      <c r="F43" s="66" t="s">
        <v>54</v>
      </c>
      <c r="G43" s="66" t="s">
        <v>107</v>
      </c>
      <c r="H43" s="66" t="s">
        <v>55</v>
      </c>
      <c r="I43" s="66"/>
      <c r="J43" s="67" t="n">
        <v>1510000</v>
      </c>
      <c r="K43" s="68" t="s">
        <v>136</v>
      </c>
      <c r="L43" s="4"/>
      <c r="M43" s="4"/>
      <c r="N43" s="4"/>
      <c r="O43" s="4"/>
      <c r="P43" s="4"/>
      <c r="Q43" s="4"/>
    </row>
    <row r="44" customFormat="false" ht="18" hidden="false" customHeight="true" outlineLevel="0" collapsed="false">
      <c r="A44" s="63" t="str">
        <f aca="false">IF($B44="","","PM-"&amp;TEXT(ROW()-5,"0000"))</f>
        <v>PM-0039</v>
      </c>
      <c r="B44" s="69" t="n">
        <v>46129</v>
      </c>
      <c r="C44" s="65" t="n">
        <f aca="false">IF($B44="","",MONTH($B44))</f>
        <v>4</v>
      </c>
      <c r="D44" s="70" t="s">
        <v>74</v>
      </c>
      <c r="E44" s="70" t="s">
        <v>52</v>
      </c>
      <c r="F44" s="70" t="s">
        <v>54</v>
      </c>
      <c r="G44" s="70" t="s">
        <v>107</v>
      </c>
      <c r="H44" s="70" t="s">
        <v>55</v>
      </c>
      <c r="I44" s="70"/>
      <c r="J44" s="71" t="n">
        <v>4380000</v>
      </c>
      <c r="K44" s="72" t="s">
        <v>134</v>
      </c>
      <c r="L44" s="4"/>
      <c r="M44" s="4"/>
      <c r="N44" s="4"/>
      <c r="O44" s="4"/>
      <c r="P44" s="4"/>
      <c r="Q44" s="4"/>
    </row>
    <row r="45" customFormat="false" ht="18" hidden="false" customHeight="true" outlineLevel="0" collapsed="false">
      <c r="A45" s="63" t="str">
        <f aca="false">IF($B45="","","PM-"&amp;TEXT(ROW()-5,"0000"))</f>
        <v>PM-0040</v>
      </c>
      <c r="B45" s="64" t="n">
        <v>46132</v>
      </c>
      <c r="C45" s="65" t="n">
        <f aca="false">IF($B45="","",MONTH($B45))</f>
        <v>4</v>
      </c>
      <c r="D45" s="66" t="s">
        <v>59</v>
      </c>
      <c r="E45" s="66" t="s">
        <v>97</v>
      </c>
      <c r="F45" s="66" t="s">
        <v>63</v>
      </c>
      <c r="G45" s="66" t="s">
        <v>22</v>
      </c>
      <c r="H45" s="66" t="s">
        <v>64</v>
      </c>
      <c r="I45" s="66" t="s">
        <v>56</v>
      </c>
      <c r="J45" s="67" t="n">
        <v>5000000</v>
      </c>
      <c r="K45" s="68" t="s">
        <v>137</v>
      </c>
      <c r="L45" s="4"/>
      <c r="M45" s="4"/>
      <c r="N45" s="4"/>
      <c r="O45" s="4"/>
      <c r="P45" s="4"/>
      <c r="Q45" s="4"/>
    </row>
    <row r="46" customFormat="false" ht="18" hidden="false" customHeight="true" outlineLevel="0" collapsed="false">
      <c r="A46" s="63" t="str">
        <f aca="false">IF($B46="","","PM-"&amp;TEXT(ROW()-5,"0000"))</f>
        <v>PM-0041</v>
      </c>
      <c r="B46" s="69" t="n">
        <v>46136</v>
      </c>
      <c r="C46" s="65" t="n">
        <f aca="false">IF($B46="","",MONTH($B46))</f>
        <v>4</v>
      </c>
      <c r="D46" s="70" t="s">
        <v>74</v>
      </c>
      <c r="E46" s="70" t="s">
        <v>52</v>
      </c>
      <c r="F46" s="70" t="s">
        <v>54</v>
      </c>
      <c r="G46" s="70" t="s">
        <v>107</v>
      </c>
      <c r="H46" s="70" t="s">
        <v>55</v>
      </c>
      <c r="I46" s="70"/>
      <c r="J46" s="71" t="n">
        <v>4520000</v>
      </c>
      <c r="K46" s="72" t="s">
        <v>134</v>
      </c>
      <c r="L46" s="4"/>
      <c r="M46" s="4"/>
      <c r="N46" s="4"/>
      <c r="O46" s="4"/>
      <c r="P46" s="4"/>
      <c r="Q46" s="4"/>
    </row>
    <row r="47" customFormat="false" ht="18" hidden="false" customHeight="true" outlineLevel="0" collapsed="false">
      <c r="A47" s="63" t="str">
        <f aca="false">IF($B47="","","PM-"&amp;TEXT(ROW()-5,"0000"))</f>
        <v>PM-0042</v>
      </c>
      <c r="B47" s="64" t="n">
        <v>46140</v>
      </c>
      <c r="C47" s="65" t="n">
        <f aca="false">IF($B47="","",MONTH($B47))</f>
        <v>4</v>
      </c>
      <c r="D47" s="66" t="s">
        <v>50</v>
      </c>
      <c r="E47" s="66" t="s">
        <v>102</v>
      </c>
      <c r="F47" s="66" t="s">
        <v>54</v>
      </c>
      <c r="G47" s="66" t="s">
        <v>89</v>
      </c>
      <c r="H47" s="66" t="s">
        <v>64</v>
      </c>
      <c r="I47" s="66" t="s">
        <v>65</v>
      </c>
      <c r="J47" s="67" t="n">
        <v>1500000</v>
      </c>
      <c r="K47" s="68" t="s">
        <v>139</v>
      </c>
      <c r="L47" s="4"/>
      <c r="M47" s="4"/>
      <c r="N47" s="4"/>
      <c r="O47" s="4"/>
      <c r="P47" s="4"/>
      <c r="Q47" s="4"/>
    </row>
    <row r="48" customFormat="false" ht="18" hidden="false" customHeight="true" outlineLevel="0" collapsed="false">
      <c r="A48" s="63" t="str">
        <f aca="false">IF($B48="","","PM-"&amp;TEXT(ROW()-5,"0000"))</f>
        <v>PM-0043</v>
      </c>
      <c r="B48" s="69" t="n">
        <v>46143</v>
      </c>
      <c r="C48" s="65" t="n">
        <f aca="false">IF($B48="","",MONTH($B48))</f>
        <v>5</v>
      </c>
      <c r="D48" s="70" t="s">
        <v>74</v>
      </c>
      <c r="E48" s="70" t="s">
        <v>52</v>
      </c>
      <c r="F48" s="70" t="s">
        <v>54</v>
      </c>
      <c r="G48" s="70" t="s">
        <v>107</v>
      </c>
      <c r="H48" s="70" t="s">
        <v>55</v>
      </c>
      <c r="I48" s="70"/>
      <c r="J48" s="71" t="n">
        <v>3960000</v>
      </c>
      <c r="K48" s="72" t="s">
        <v>134</v>
      </c>
      <c r="L48" s="4"/>
      <c r="M48" s="4"/>
      <c r="N48" s="4"/>
      <c r="O48" s="4"/>
      <c r="P48" s="4"/>
      <c r="Q48" s="4"/>
    </row>
    <row r="49" customFormat="false" ht="18" hidden="false" customHeight="true" outlineLevel="0" collapsed="false">
      <c r="A49" s="63" t="str">
        <f aca="false">IF($B49="","","PM-"&amp;TEXT(ROW()-5,"0000"))</f>
        <v>PM-0044</v>
      </c>
      <c r="B49" s="64" t="n">
        <v>46147</v>
      </c>
      <c r="C49" s="65" t="n">
        <f aca="false">IF($B49="","",MONTH($B49))</f>
        <v>5</v>
      </c>
      <c r="D49" s="66" t="s">
        <v>79</v>
      </c>
      <c r="E49" s="66" t="s">
        <v>97</v>
      </c>
      <c r="F49" s="66" t="s">
        <v>103</v>
      </c>
      <c r="G49" s="66" t="s">
        <v>57</v>
      </c>
      <c r="H49" s="66" t="s">
        <v>71</v>
      </c>
      <c r="I49" s="66" t="s">
        <v>56</v>
      </c>
      <c r="J49" s="67" t="n">
        <v>1050000</v>
      </c>
      <c r="K49" s="68" t="s">
        <v>135</v>
      </c>
      <c r="L49" s="4"/>
      <c r="M49" s="4"/>
      <c r="N49" s="4"/>
      <c r="O49" s="4"/>
      <c r="P49" s="4"/>
      <c r="Q49" s="4"/>
    </row>
    <row r="50" customFormat="false" ht="18" hidden="false" customHeight="true" outlineLevel="0" collapsed="false">
      <c r="A50" s="63" t="str">
        <f aca="false">IF($B50="","","PM-"&amp;TEXT(ROW()-5,"0000"))</f>
        <v>PM-0045</v>
      </c>
      <c r="B50" s="69" t="n">
        <v>46150</v>
      </c>
      <c r="C50" s="65" t="n">
        <f aca="false">IF($B50="","",MONTH($B50))</f>
        <v>5</v>
      </c>
      <c r="D50" s="70" t="s">
        <v>74</v>
      </c>
      <c r="E50" s="70" t="s">
        <v>52</v>
      </c>
      <c r="F50" s="70" t="s">
        <v>54</v>
      </c>
      <c r="G50" s="70" t="s">
        <v>107</v>
      </c>
      <c r="H50" s="70" t="s">
        <v>55</v>
      </c>
      <c r="I50" s="70"/>
      <c r="J50" s="71" t="n">
        <v>4270000</v>
      </c>
      <c r="K50" s="72" t="s">
        <v>134</v>
      </c>
      <c r="L50" s="4"/>
      <c r="M50" s="4"/>
      <c r="N50" s="4"/>
      <c r="O50" s="4"/>
      <c r="P50" s="4"/>
      <c r="Q50" s="4"/>
    </row>
    <row r="51" customFormat="false" ht="18" hidden="false" customHeight="true" outlineLevel="0" collapsed="false">
      <c r="A51" s="63" t="str">
        <f aca="false">IF($B51="","","PM-"&amp;TEXT(ROW()-5,"0000"))</f>
        <v>PM-0046</v>
      </c>
      <c r="B51" s="64" t="n">
        <v>46157</v>
      </c>
      <c r="C51" s="65" t="n">
        <f aca="false">IF($B51="","",MONTH($B51))</f>
        <v>5</v>
      </c>
      <c r="D51" s="66" t="s">
        <v>74</v>
      </c>
      <c r="E51" s="66" t="s">
        <v>52</v>
      </c>
      <c r="F51" s="66" t="s">
        <v>54</v>
      </c>
      <c r="G51" s="66" t="s">
        <v>107</v>
      </c>
      <c r="H51" s="66" t="s">
        <v>55</v>
      </c>
      <c r="I51" s="66"/>
      <c r="J51" s="67" t="n">
        <v>3740000</v>
      </c>
      <c r="K51" s="68" t="s">
        <v>134</v>
      </c>
      <c r="L51" s="4"/>
      <c r="M51" s="4"/>
      <c r="N51" s="4"/>
      <c r="O51" s="4"/>
      <c r="P51" s="4"/>
      <c r="Q51" s="4"/>
    </row>
    <row r="52" customFormat="false" ht="18" hidden="false" customHeight="true" outlineLevel="0" collapsed="false">
      <c r="A52" s="63" t="str">
        <f aca="false">IF($B52="","","PM-"&amp;TEXT(ROW()-5,"0000"))</f>
        <v>PM-0047</v>
      </c>
      <c r="B52" s="69" t="n">
        <v>46157</v>
      </c>
      <c r="C52" s="65" t="n">
        <f aca="false">IF($B52="","",MONTH($B52))</f>
        <v>5</v>
      </c>
      <c r="D52" s="70" t="s">
        <v>74</v>
      </c>
      <c r="E52" s="70" t="s">
        <v>68</v>
      </c>
      <c r="F52" s="70" t="s">
        <v>54</v>
      </c>
      <c r="G52" s="70" t="s">
        <v>107</v>
      </c>
      <c r="H52" s="70" t="s">
        <v>55</v>
      </c>
      <c r="I52" s="70"/>
      <c r="J52" s="71" t="n">
        <v>1600000</v>
      </c>
      <c r="K52" s="72" t="s">
        <v>136</v>
      </c>
      <c r="L52" s="4"/>
      <c r="M52" s="4"/>
      <c r="N52" s="4"/>
      <c r="O52" s="4"/>
      <c r="P52" s="4"/>
      <c r="Q52" s="4"/>
    </row>
    <row r="53" customFormat="false" ht="18" hidden="false" customHeight="true" outlineLevel="0" collapsed="false">
      <c r="A53" s="63" t="str">
        <f aca="false">IF($B53="","","PM-"&amp;TEXT(ROW()-5,"0000"))</f>
        <v>PM-0048</v>
      </c>
      <c r="B53" s="64" t="n">
        <v>46160</v>
      </c>
      <c r="C53" s="65" t="n">
        <f aca="false">IF($B53="","",MONTH($B53))</f>
        <v>5</v>
      </c>
      <c r="D53" s="66" t="s">
        <v>85</v>
      </c>
      <c r="E53" s="66" t="s">
        <v>86</v>
      </c>
      <c r="F53" s="66" t="s">
        <v>103</v>
      </c>
      <c r="G53" s="66" t="s">
        <v>100</v>
      </c>
      <c r="H53" s="66" t="s">
        <v>64</v>
      </c>
      <c r="I53" s="66" t="s">
        <v>65</v>
      </c>
      <c r="J53" s="67" t="n">
        <v>5000000</v>
      </c>
      <c r="K53" s="68" t="s">
        <v>148</v>
      </c>
      <c r="L53" s="4"/>
      <c r="M53" s="4"/>
      <c r="N53" s="4"/>
      <c r="O53" s="4"/>
      <c r="P53" s="4"/>
      <c r="Q53" s="4"/>
    </row>
    <row r="54" customFormat="false" ht="18" hidden="false" customHeight="true" outlineLevel="0" collapsed="false">
      <c r="A54" s="63" t="str">
        <f aca="false">IF($B54="","","PM-"&amp;TEXT(ROW()-5,"0000"))</f>
        <v>PM-0049</v>
      </c>
      <c r="B54" s="69" t="n">
        <v>46162</v>
      </c>
      <c r="C54" s="65" t="n">
        <f aca="false">IF($B54="","",MONTH($B54))</f>
        <v>5</v>
      </c>
      <c r="D54" s="70" t="s">
        <v>59</v>
      </c>
      <c r="E54" s="70" t="s">
        <v>97</v>
      </c>
      <c r="F54" s="70" t="s">
        <v>63</v>
      </c>
      <c r="G54" s="70" t="s">
        <v>22</v>
      </c>
      <c r="H54" s="70" t="s">
        <v>64</v>
      </c>
      <c r="I54" s="70" t="s">
        <v>56</v>
      </c>
      <c r="J54" s="71" t="n">
        <v>5000000</v>
      </c>
      <c r="K54" s="72" t="s">
        <v>137</v>
      </c>
      <c r="L54" s="4"/>
      <c r="M54" s="4"/>
      <c r="N54" s="4"/>
      <c r="O54" s="4"/>
      <c r="P54" s="4"/>
      <c r="Q54" s="4"/>
    </row>
    <row r="55" customFormat="false" ht="18" hidden="false" customHeight="true" outlineLevel="0" collapsed="false">
      <c r="A55" s="63" t="str">
        <f aca="false">IF($B55="","","PM-"&amp;TEXT(ROW()-5,"0000"))</f>
        <v>PM-0050</v>
      </c>
      <c r="B55" s="64" t="n">
        <v>46164</v>
      </c>
      <c r="C55" s="65" t="n">
        <f aca="false">IF($B55="","",MONTH($B55))</f>
        <v>5</v>
      </c>
      <c r="D55" s="66" t="s">
        <v>74</v>
      </c>
      <c r="E55" s="66" t="s">
        <v>52</v>
      </c>
      <c r="F55" s="66" t="s">
        <v>54</v>
      </c>
      <c r="G55" s="66" t="s">
        <v>107</v>
      </c>
      <c r="H55" s="66" t="s">
        <v>55</v>
      </c>
      <c r="I55" s="66"/>
      <c r="J55" s="67" t="n">
        <v>3330000</v>
      </c>
      <c r="K55" s="68" t="s">
        <v>134</v>
      </c>
      <c r="L55" s="4"/>
      <c r="M55" s="4"/>
      <c r="N55" s="4"/>
      <c r="O55" s="4"/>
      <c r="P55" s="4"/>
      <c r="Q55" s="4"/>
    </row>
    <row r="56" customFormat="false" ht="18" hidden="false" customHeight="true" outlineLevel="0" collapsed="false">
      <c r="A56" s="63" t="str">
        <f aca="false">IF($B56="","","PM-"&amp;TEXT(ROW()-5,"0000"))</f>
        <v>PM-0051</v>
      </c>
      <c r="B56" s="69" t="n">
        <v>46167</v>
      </c>
      <c r="C56" s="65" t="n">
        <f aca="false">IF($B56="","",MONTH($B56))</f>
        <v>5</v>
      </c>
      <c r="D56" s="70" t="s">
        <v>79</v>
      </c>
      <c r="E56" s="70" t="s">
        <v>98</v>
      </c>
      <c r="F56" s="70" t="s">
        <v>99</v>
      </c>
      <c r="G56" s="70" t="s">
        <v>95</v>
      </c>
      <c r="H56" s="70" t="s">
        <v>64</v>
      </c>
      <c r="I56" s="70" t="s">
        <v>56</v>
      </c>
      <c r="J56" s="71" t="n">
        <v>3500000</v>
      </c>
      <c r="K56" s="72" t="s">
        <v>149</v>
      </c>
      <c r="L56" s="4"/>
      <c r="M56" s="4"/>
      <c r="N56" s="4"/>
      <c r="O56" s="4"/>
      <c r="P56" s="4"/>
      <c r="Q56" s="4"/>
    </row>
    <row r="57" customFormat="false" ht="18" hidden="false" customHeight="true" outlineLevel="0" collapsed="false">
      <c r="A57" s="63" t="str">
        <f aca="false">IF($B57="","","PM-"&amp;TEXT(ROW()-5,"0000"))</f>
        <v>PM-0052</v>
      </c>
      <c r="B57" s="64" t="n">
        <v>46170</v>
      </c>
      <c r="C57" s="65" t="n">
        <f aca="false">IF($B57="","",MONTH($B57))</f>
        <v>5</v>
      </c>
      <c r="D57" s="66" t="s">
        <v>50</v>
      </c>
      <c r="E57" s="66" t="s">
        <v>102</v>
      </c>
      <c r="F57" s="66" t="s">
        <v>54</v>
      </c>
      <c r="G57" s="66" t="s">
        <v>89</v>
      </c>
      <c r="H57" s="66" t="s">
        <v>64</v>
      </c>
      <c r="I57" s="66" t="s">
        <v>65</v>
      </c>
      <c r="J57" s="67" t="n">
        <v>1500000</v>
      </c>
      <c r="K57" s="68" t="s">
        <v>139</v>
      </c>
      <c r="L57" s="4"/>
      <c r="M57" s="4"/>
      <c r="N57" s="4"/>
      <c r="O57" s="4"/>
      <c r="P57" s="4"/>
      <c r="Q57" s="4"/>
    </row>
    <row r="58" customFormat="false" ht="18" hidden="false" customHeight="true" outlineLevel="0" collapsed="false">
      <c r="A58" s="63" t="str">
        <f aca="false">IF($B58="","","PM-"&amp;TEXT(ROW()-5,"0000"))</f>
        <v>PM-0053</v>
      </c>
      <c r="B58" s="69" t="n">
        <v>46171</v>
      </c>
      <c r="C58" s="65" t="n">
        <f aca="false">IF($B58="","",MONTH($B58))</f>
        <v>5</v>
      </c>
      <c r="D58" s="70" t="s">
        <v>74</v>
      </c>
      <c r="E58" s="70" t="s">
        <v>52</v>
      </c>
      <c r="F58" s="70" t="s">
        <v>54</v>
      </c>
      <c r="G58" s="70" t="s">
        <v>107</v>
      </c>
      <c r="H58" s="70" t="s">
        <v>55</v>
      </c>
      <c r="I58" s="70"/>
      <c r="J58" s="71" t="n">
        <v>3080000</v>
      </c>
      <c r="K58" s="72" t="s">
        <v>134</v>
      </c>
      <c r="L58" s="4"/>
      <c r="M58" s="4"/>
      <c r="N58" s="4"/>
      <c r="O58" s="4"/>
      <c r="P58" s="4"/>
      <c r="Q58" s="4"/>
    </row>
    <row r="59" customFormat="false" ht="18" hidden="false" customHeight="true" outlineLevel="0" collapsed="false">
      <c r="A59" s="63" t="str">
        <f aca="false">IF($B59="","","PM-"&amp;TEXT(ROW()-5,"0000"))</f>
        <v>PM-0054</v>
      </c>
      <c r="B59" s="64" t="n">
        <v>46178</v>
      </c>
      <c r="C59" s="65" t="n">
        <f aca="false">IF($B59="","",MONTH($B59))</f>
        <v>6</v>
      </c>
      <c r="D59" s="66" t="s">
        <v>74</v>
      </c>
      <c r="E59" s="66" t="s">
        <v>52</v>
      </c>
      <c r="F59" s="66" t="s">
        <v>54</v>
      </c>
      <c r="G59" s="66" t="s">
        <v>107</v>
      </c>
      <c r="H59" s="66" t="s">
        <v>55</v>
      </c>
      <c r="I59" s="66"/>
      <c r="J59" s="67" t="n">
        <v>3560000</v>
      </c>
      <c r="K59" s="68" t="s">
        <v>134</v>
      </c>
      <c r="L59" s="4"/>
      <c r="M59" s="4"/>
      <c r="N59" s="4"/>
      <c r="O59" s="4"/>
      <c r="P59" s="4"/>
      <c r="Q59" s="4"/>
    </row>
    <row r="60" customFormat="false" ht="18" hidden="false" customHeight="true" outlineLevel="0" collapsed="false">
      <c r="A60" s="63" t="str">
        <f aca="false">IF($B60="","","PM-"&amp;TEXT(ROW()-5,"0000"))</f>
        <v>PM-0055</v>
      </c>
      <c r="B60" s="69" t="n">
        <v>46178</v>
      </c>
      <c r="C60" s="65" t="n">
        <f aca="false">IF($B60="","",MONTH($B60))</f>
        <v>6</v>
      </c>
      <c r="D60" s="70" t="s">
        <v>79</v>
      </c>
      <c r="E60" s="70" t="s">
        <v>97</v>
      </c>
      <c r="F60" s="70" t="s">
        <v>103</v>
      </c>
      <c r="G60" s="70" t="s">
        <v>57</v>
      </c>
      <c r="H60" s="70" t="s">
        <v>71</v>
      </c>
      <c r="I60" s="70" t="s">
        <v>56</v>
      </c>
      <c r="J60" s="71" t="n">
        <v>1110000</v>
      </c>
      <c r="K60" s="72" t="s">
        <v>135</v>
      </c>
      <c r="L60" s="4"/>
      <c r="M60" s="4"/>
      <c r="N60" s="4"/>
      <c r="O60" s="4"/>
      <c r="P60" s="4"/>
      <c r="Q60" s="4"/>
    </row>
    <row r="61" customFormat="false" ht="18" hidden="false" customHeight="true" outlineLevel="0" collapsed="false">
      <c r="A61" s="63" t="str">
        <f aca="false">IF($B61="","","PM-"&amp;TEXT(ROW()-5,"0000"))</f>
        <v>PM-0056</v>
      </c>
      <c r="B61" s="64" t="n">
        <v>46183</v>
      </c>
      <c r="C61" s="65" t="n">
        <f aca="false">IF($B61="","",MONTH($B61))</f>
        <v>6</v>
      </c>
      <c r="D61" s="66" t="s">
        <v>79</v>
      </c>
      <c r="E61" s="66" t="s">
        <v>98</v>
      </c>
      <c r="F61" s="66" t="s">
        <v>99</v>
      </c>
      <c r="G61" s="66" t="s">
        <v>83</v>
      </c>
      <c r="H61" s="66" t="s">
        <v>64</v>
      </c>
      <c r="I61" s="66" t="s">
        <v>56</v>
      </c>
      <c r="J61" s="67" t="n">
        <v>21000000</v>
      </c>
      <c r="K61" s="68" t="s">
        <v>150</v>
      </c>
      <c r="L61" s="4"/>
      <c r="M61" s="4"/>
      <c r="N61" s="4"/>
      <c r="O61" s="4"/>
      <c r="P61" s="4"/>
      <c r="Q61" s="4"/>
    </row>
    <row r="62" customFormat="false" ht="18" hidden="false" customHeight="true" outlineLevel="0" collapsed="false">
      <c r="A62" s="63" t="str">
        <f aca="false">IF($B62="","","PM-"&amp;TEXT(ROW()-5,"0000"))</f>
        <v>PM-0057</v>
      </c>
      <c r="B62" s="69" t="n">
        <v>46185</v>
      </c>
      <c r="C62" s="65" t="n">
        <f aca="false">IF($B62="","",MONTH($B62))</f>
        <v>6</v>
      </c>
      <c r="D62" s="70" t="s">
        <v>74</v>
      </c>
      <c r="E62" s="70" t="s">
        <v>52</v>
      </c>
      <c r="F62" s="70" t="s">
        <v>54</v>
      </c>
      <c r="G62" s="70" t="s">
        <v>107</v>
      </c>
      <c r="H62" s="70" t="s">
        <v>55</v>
      </c>
      <c r="I62" s="70"/>
      <c r="J62" s="71" t="n">
        <v>3190000</v>
      </c>
      <c r="K62" s="72" t="s">
        <v>134</v>
      </c>
      <c r="L62" s="4"/>
      <c r="M62" s="4"/>
      <c r="N62" s="4"/>
      <c r="O62" s="4"/>
      <c r="P62" s="4"/>
      <c r="Q62" s="4"/>
    </row>
    <row r="63" customFormat="false" ht="18" hidden="false" customHeight="true" outlineLevel="0" collapsed="false">
      <c r="A63" s="63" t="str">
        <f aca="false">IF($B63="","","PM-"&amp;TEXT(ROW()-5,"0000"))</f>
        <v>PM-0058</v>
      </c>
      <c r="B63" s="64" t="n">
        <v>46188</v>
      </c>
      <c r="C63" s="65" t="n">
        <f aca="false">IF($B63="","",MONTH($B63))</f>
        <v>6</v>
      </c>
      <c r="D63" s="66" t="s">
        <v>74</v>
      </c>
      <c r="E63" s="66" t="s">
        <v>68</v>
      </c>
      <c r="F63" s="66" t="s">
        <v>54</v>
      </c>
      <c r="G63" s="66" t="s">
        <v>107</v>
      </c>
      <c r="H63" s="66" t="s">
        <v>55</v>
      </c>
      <c r="I63" s="66"/>
      <c r="J63" s="67" t="n">
        <v>1690000</v>
      </c>
      <c r="K63" s="68" t="s">
        <v>136</v>
      </c>
      <c r="L63" s="4"/>
      <c r="M63" s="4"/>
      <c r="N63" s="4"/>
      <c r="O63" s="4"/>
      <c r="P63" s="4"/>
      <c r="Q63" s="4"/>
    </row>
    <row r="64" customFormat="false" ht="18" hidden="false" customHeight="true" outlineLevel="0" collapsed="false">
      <c r="A64" s="63" t="str">
        <f aca="false">IF($B64="","","PM-"&amp;TEXT(ROW()-5,"0000"))</f>
        <v>PM-0059</v>
      </c>
      <c r="B64" s="69" t="n">
        <v>46192</v>
      </c>
      <c r="C64" s="65" t="n">
        <f aca="false">IF($B64="","",MONTH($B64))</f>
        <v>6</v>
      </c>
      <c r="D64" s="70" t="s">
        <v>74</v>
      </c>
      <c r="E64" s="70" t="s">
        <v>52</v>
      </c>
      <c r="F64" s="70" t="s">
        <v>54</v>
      </c>
      <c r="G64" s="70" t="s">
        <v>107</v>
      </c>
      <c r="H64" s="70" t="s">
        <v>55</v>
      </c>
      <c r="I64" s="70"/>
      <c r="J64" s="71" t="n">
        <v>2910000</v>
      </c>
      <c r="K64" s="72" t="s">
        <v>134</v>
      </c>
      <c r="L64" s="4"/>
      <c r="M64" s="4"/>
      <c r="N64" s="4"/>
      <c r="O64" s="4"/>
      <c r="P64" s="4"/>
      <c r="Q64" s="4"/>
    </row>
    <row r="65" customFormat="false" ht="18" hidden="false" customHeight="true" outlineLevel="0" collapsed="false">
      <c r="A65" s="63" t="str">
        <f aca="false">IF($B65="","","PM-"&amp;TEXT(ROW()-5,"0000"))</f>
        <v>PM-0060</v>
      </c>
      <c r="B65" s="64" t="n">
        <v>46193</v>
      </c>
      <c r="C65" s="65" t="n">
        <f aca="false">IF($B65="","",MONTH($B65))</f>
        <v>6</v>
      </c>
      <c r="D65" s="66" t="s">
        <v>59</v>
      </c>
      <c r="E65" s="66" t="s">
        <v>97</v>
      </c>
      <c r="F65" s="66" t="s">
        <v>63</v>
      </c>
      <c r="G65" s="66" t="s">
        <v>22</v>
      </c>
      <c r="H65" s="66" t="s">
        <v>64</v>
      </c>
      <c r="I65" s="66" t="s">
        <v>56</v>
      </c>
      <c r="J65" s="67" t="n">
        <v>5000000</v>
      </c>
      <c r="K65" s="68" t="s">
        <v>137</v>
      </c>
      <c r="L65" s="4"/>
      <c r="M65" s="4"/>
      <c r="N65" s="4"/>
      <c r="O65" s="4"/>
      <c r="P65" s="4"/>
      <c r="Q65" s="4"/>
    </row>
    <row r="66" customFormat="false" ht="18" hidden="false" customHeight="true" outlineLevel="0" collapsed="false">
      <c r="A66" s="63" t="str">
        <f aca="false">IF($B66="","","PM-"&amp;TEXT(ROW()-5,"0000"))</f>
        <v>PM-0061</v>
      </c>
      <c r="B66" s="69" t="n">
        <v>46195</v>
      </c>
      <c r="C66" s="65" t="n">
        <f aca="false">IF($B66="","",MONTH($B66))</f>
        <v>6</v>
      </c>
      <c r="D66" s="70" t="s">
        <v>50</v>
      </c>
      <c r="E66" s="70" t="s">
        <v>105</v>
      </c>
      <c r="F66" s="70" t="s">
        <v>54</v>
      </c>
      <c r="G66" s="70" t="s">
        <v>107</v>
      </c>
      <c r="H66" s="70" t="s">
        <v>55</v>
      </c>
      <c r="I66" s="70"/>
      <c r="J66" s="71" t="n">
        <v>1850000</v>
      </c>
      <c r="K66" s="72" t="s">
        <v>151</v>
      </c>
      <c r="L66" s="4"/>
      <c r="M66" s="4"/>
      <c r="N66" s="4"/>
      <c r="O66" s="4"/>
      <c r="P66" s="4"/>
      <c r="Q66" s="4"/>
    </row>
    <row r="67" customFormat="false" ht="18" hidden="false" customHeight="true" outlineLevel="0" collapsed="false">
      <c r="A67" s="63" t="str">
        <f aca="false">IF($B67="","","PM-"&amp;TEXT(ROW()-5,"0000"))</f>
        <v>PM-0062</v>
      </c>
      <c r="B67" s="64" t="n">
        <v>46199</v>
      </c>
      <c r="C67" s="65" t="n">
        <f aca="false">IF($B67="","",MONTH($B67))</f>
        <v>6</v>
      </c>
      <c r="D67" s="66" t="s">
        <v>74</v>
      </c>
      <c r="E67" s="66" t="s">
        <v>52</v>
      </c>
      <c r="F67" s="66" t="s">
        <v>54</v>
      </c>
      <c r="G67" s="66" t="s">
        <v>107</v>
      </c>
      <c r="H67" s="66" t="s">
        <v>55</v>
      </c>
      <c r="I67" s="66"/>
      <c r="J67" s="67" t="n">
        <v>3450000</v>
      </c>
      <c r="K67" s="68" t="s">
        <v>134</v>
      </c>
      <c r="L67" s="4"/>
      <c r="M67" s="4"/>
      <c r="N67" s="4"/>
      <c r="O67" s="4"/>
      <c r="P67" s="4"/>
      <c r="Q67" s="4"/>
    </row>
    <row r="68" customFormat="false" ht="18" hidden="false" customHeight="true" outlineLevel="0" collapsed="false">
      <c r="A68" s="63" t="str">
        <f aca="false">IF($B68="","","PM-"&amp;TEXT(ROW()-5,"0000"))</f>
        <v>PM-0063</v>
      </c>
      <c r="B68" s="69" t="n">
        <v>46201</v>
      </c>
      <c r="C68" s="65" t="n">
        <f aca="false">IF($B68="","",MONTH($B68))</f>
        <v>6</v>
      </c>
      <c r="D68" s="70" t="s">
        <v>50</v>
      </c>
      <c r="E68" s="70" t="s">
        <v>102</v>
      </c>
      <c r="F68" s="70" t="s">
        <v>54</v>
      </c>
      <c r="G68" s="70" t="s">
        <v>89</v>
      </c>
      <c r="H68" s="70" t="s">
        <v>64</v>
      </c>
      <c r="I68" s="70" t="s">
        <v>65</v>
      </c>
      <c r="J68" s="71" t="n">
        <v>1500000</v>
      </c>
      <c r="K68" s="72" t="s">
        <v>139</v>
      </c>
      <c r="L68" s="4"/>
      <c r="M68" s="4"/>
      <c r="N68" s="4"/>
      <c r="O68" s="4"/>
      <c r="P68" s="4"/>
      <c r="Q68" s="4"/>
    </row>
    <row r="69" customFormat="false" ht="18" hidden="false" customHeight="true" outlineLevel="0" collapsed="false">
      <c r="A69" s="63" t="str">
        <f aca="false">IF($B69="","","PM-"&amp;TEXT(ROW()-5,"0000"))</f>
        <v/>
      </c>
      <c r="B69" s="64"/>
      <c r="C69" s="65" t="str">
        <f aca="false">IF($B69="","",MONTH($B69))</f>
        <v/>
      </c>
      <c r="D69" s="66"/>
      <c r="E69" s="66"/>
      <c r="F69" s="66"/>
      <c r="G69" s="66"/>
      <c r="H69" s="66"/>
      <c r="I69" s="66"/>
      <c r="J69" s="67"/>
      <c r="K69" s="68"/>
      <c r="L69" s="4"/>
      <c r="M69" s="4"/>
      <c r="N69" s="4"/>
      <c r="O69" s="4"/>
      <c r="P69" s="4"/>
      <c r="Q69" s="4"/>
    </row>
    <row r="70" customFormat="false" ht="18" hidden="false" customHeight="true" outlineLevel="0" collapsed="false">
      <c r="A70" s="63" t="str">
        <f aca="false">IF($B70="","","PM-"&amp;TEXT(ROW()-5,"0000"))</f>
        <v/>
      </c>
      <c r="B70" s="69"/>
      <c r="C70" s="65" t="str">
        <f aca="false">IF($B70="","",MONTH($B70))</f>
        <v/>
      </c>
      <c r="D70" s="70"/>
      <c r="E70" s="70"/>
      <c r="F70" s="70"/>
      <c r="G70" s="70"/>
      <c r="H70" s="70"/>
      <c r="I70" s="70"/>
      <c r="J70" s="71"/>
      <c r="K70" s="72"/>
      <c r="L70" s="4"/>
      <c r="M70" s="4"/>
      <c r="N70" s="4"/>
      <c r="O70" s="4"/>
      <c r="P70" s="4"/>
      <c r="Q70" s="4"/>
    </row>
    <row r="71" customFormat="false" ht="18" hidden="false" customHeight="true" outlineLevel="0" collapsed="false">
      <c r="A71" s="63" t="str">
        <f aca="false">IF($B71="","","PM-"&amp;TEXT(ROW()-5,"0000"))</f>
        <v/>
      </c>
      <c r="B71" s="64"/>
      <c r="C71" s="65" t="str">
        <f aca="false">IF($B71="","",MONTH($B71))</f>
        <v/>
      </c>
      <c r="D71" s="66"/>
      <c r="E71" s="66"/>
      <c r="F71" s="66"/>
      <c r="G71" s="66"/>
      <c r="H71" s="66"/>
      <c r="I71" s="66"/>
      <c r="J71" s="67"/>
      <c r="K71" s="68"/>
      <c r="L71" s="4"/>
      <c r="M71" s="4"/>
      <c r="N71" s="4"/>
      <c r="O71" s="4"/>
      <c r="P71" s="4"/>
      <c r="Q71" s="4"/>
    </row>
    <row r="72" customFormat="false" ht="18" hidden="false" customHeight="true" outlineLevel="0" collapsed="false">
      <c r="A72" s="63" t="str">
        <f aca="false">IF($B72="","","PM-"&amp;TEXT(ROW()-5,"0000"))</f>
        <v/>
      </c>
      <c r="B72" s="69"/>
      <c r="C72" s="65" t="str">
        <f aca="false">IF($B72="","",MONTH($B72))</f>
        <v/>
      </c>
      <c r="D72" s="70"/>
      <c r="E72" s="70"/>
      <c r="F72" s="70"/>
      <c r="G72" s="70"/>
      <c r="H72" s="70"/>
      <c r="I72" s="70"/>
      <c r="J72" s="71"/>
      <c r="K72" s="72"/>
      <c r="L72" s="4"/>
      <c r="M72" s="4"/>
      <c r="N72" s="4"/>
      <c r="O72" s="4"/>
      <c r="P72" s="4"/>
      <c r="Q72" s="4"/>
    </row>
    <row r="73" customFormat="false" ht="18" hidden="false" customHeight="true" outlineLevel="0" collapsed="false">
      <c r="A73" s="63" t="str">
        <f aca="false">IF($B73="","","PM-"&amp;TEXT(ROW()-5,"0000"))</f>
        <v/>
      </c>
      <c r="B73" s="64"/>
      <c r="C73" s="65" t="str">
        <f aca="false">IF($B73="","",MONTH($B73))</f>
        <v/>
      </c>
      <c r="D73" s="66"/>
      <c r="E73" s="66"/>
      <c r="F73" s="66"/>
      <c r="G73" s="66"/>
      <c r="H73" s="66"/>
      <c r="I73" s="66"/>
      <c r="J73" s="67"/>
      <c r="K73" s="68"/>
      <c r="L73" s="4"/>
      <c r="M73" s="4"/>
      <c r="N73" s="4"/>
      <c r="O73" s="4"/>
      <c r="P73" s="4"/>
      <c r="Q73" s="4"/>
    </row>
    <row r="74" customFormat="false" ht="18" hidden="false" customHeight="true" outlineLevel="0" collapsed="false">
      <c r="A74" s="63" t="str">
        <f aca="false">IF($B74="","","PM-"&amp;TEXT(ROW()-5,"0000"))</f>
        <v/>
      </c>
      <c r="B74" s="69"/>
      <c r="C74" s="65" t="str">
        <f aca="false">IF($B74="","",MONTH($B74))</f>
        <v/>
      </c>
      <c r="D74" s="70"/>
      <c r="E74" s="70"/>
      <c r="F74" s="70"/>
      <c r="G74" s="70"/>
      <c r="H74" s="70"/>
      <c r="I74" s="70"/>
      <c r="J74" s="71"/>
      <c r="K74" s="72"/>
      <c r="L74" s="4"/>
      <c r="M74" s="4"/>
      <c r="N74" s="4"/>
      <c r="O74" s="4"/>
      <c r="P74" s="4"/>
      <c r="Q74" s="4"/>
    </row>
    <row r="75" customFormat="false" ht="18" hidden="false" customHeight="true" outlineLevel="0" collapsed="false">
      <c r="A75" s="63" t="str">
        <f aca="false">IF($B75="","","PM-"&amp;TEXT(ROW()-5,"0000"))</f>
        <v/>
      </c>
      <c r="B75" s="64"/>
      <c r="C75" s="65" t="str">
        <f aca="false">IF($B75="","",MONTH($B75))</f>
        <v/>
      </c>
      <c r="D75" s="66"/>
      <c r="E75" s="66"/>
      <c r="F75" s="66"/>
      <c r="G75" s="66"/>
      <c r="H75" s="66"/>
      <c r="I75" s="66"/>
      <c r="J75" s="67"/>
      <c r="K75" s="68"/>
      <c r="L75" s="4"/>
      <c r="M75" s="4"/>
      <c r="N75" s="4"/>
      <c r="O75" s="4"/>
      <c r="P75" s="4"/>
      <c r="Q75" s="4"/>
    </row>
    <row r="76" customFormat="false" ht="18" hidden="false" customHeight="true" outlineLevel="0" collapsed="false">
      <c r="A76" s="63" t="str">
        <f aca="false">IF($B76="","","PM-"&amp;TEXT(ROW()-5,"0000"))</f>
        <v/>
      </c>
      <c r="B76" s="69"/>
      <c r="C76" s="65" t="str">
        <f aca="false">IF($B76="","",MONTH($B76))</f>
        <v/>
      </c>
      <c r="D76" s="70"/>
      <c r="E76" s="70"/>
      <c r="F76" s="70"/>
      <c r="G76" s="70"/>
      <c r="H76" s="70"/>
      <c r="I76" s="70"/>
      <c r="J76" s="71"/>
      <c r="K76" s="72"/>
      <c r="L76" s="4"/>
      <c r="M76" s="4"/>
      <c r="N76" s="4"/>
      <c r="O76" s="4"/>
      <c r="P76" s="4"/>
      <c r="Q76" s="4"/>
    </row>
    <row r="77" customFormat="false" ht="18" hidden="false" customHeight="true" outlineLevel="0" collapsed="false">
      <c r="A77" s="63" t="str">
        <f aca="false">IF($B77="","","PM-"&amp;TEXT(ROW()-5,"0000"))</f>
        <v/>
      </c>
      <c r="B77" s="64"/>
      <c r="C77" s="65" t="str">
        <f aca="false">IF($B77="","",MONTH($B77))</f>
        <v/>
      </c>
      <c r="D77" s="66"/>
      <c r="E77" s="66"/>
      <c r="F77" s="66"/>
      <c r="G77" s="66"/>
      <c r="H77" s="66"/>
      <c r="I77" s="66"/>
      <c r="J77" s="67"/>
      <c r="K77" s="68"/>
      <c r="L77" s="4"/>
      <c r="M77" s="4"/>
      <c r="N77" s="4"/>
      <c r="O77" s="4"/>
      <c r="P77" s="4"/>
      <c r="Q77" s="4"/>
    </row>
    <row r="78" customFormat="false" ht="18" hidden="false" customHeight="true" outlineLevel="0" collapsed="false">
      <c r="A78" s="63" t="str">
        <f aca="false">IF($B78="","","PM-"&amp;TEXT(ROW()-5,"0000"))</f>
        <v/>
      </c>
      <c r="B78" s="69"/>
      <c r="C78" s="65" t="str">
        <f aca="false">IF($B78="","",MONTH($B78))</f>
        <v/>
      </c>
      <c r="D78" s="70"/>
      <c r="E78" s="70"/>
      <c r="F78" s="70"/>
      <c r="G78" s="70"/>
      <c r="H78" s="70"/>
      <c r="I78" s="70"/>
      <c r="J78" s="71"/>
      <c r="K78" s="72"/>
      <c r="L78" s="4"/>
      <c r="M78" s="4"/>
      <c r="N78" s="4"/>
      <c r="O78" s="4"/>
      <c r="P78" s="4"/>
      <c r="Q78" s="4"/>
    </row>
    <row r="79" customFormat="false" ht="18" hidden="false" customHeight="true" outlineLevel="0" collapsed="false">
      <c r="A79" s="63" t="str">
        <f aca="false">IF($B79="","","PM-"&amp;TEXT(ROW()-5,"0000"))</f>
        <v/>
      </c>
      <c r="B79" s="64"/>
      <c r="C79" s="65" t="str">
        <f aca="false">IF($B79="","",MONTH($B79))</f>
        <v/>
      </c>
      <c r="D79" s="66"/>
      <c r="E79" s="66"/>
      <c r="F79" s="66"/>
      <c r="G79" s="66"/>
      <c r="H79" s="66"/>
      <c r="I79" s="66"/>
      <c r="J79" s="67"/>
      <c r="K79" s="68"/>
      <c r="L79" s="4"/>
      <c r="M79" s="4"/>
      <c r="N79" s="4"/>
      <c r="O79" s="4"/>
      <c r="P79" s="4"/>
      <c r="Q79" s="4"/>
    </row>
    <row r="80" customFormat="false" ht="18" hidden="false" customHeight="true" outlineLevel="0" collapsed="false">
      <c r="A80" s="63" t="str">
        <f aca="false">IF($B80="","","PM-"&amp;TEXT(ROW()-5,"0000"))</f>
        <v/>
      </c>
      <c r="B80" s="69"/>
      <c r="C80" s="65" t="str">
        <f aca="false">IF($B80="","",MONTH($B80))</f>
        <v/>
      </c>
      <c r="D80" s="70"/>
      <c r="E80" s="70"/>
      <c r="F80" s="70"/>
      <c r="G80" s="70"/>
      <c r="H80" s="70"/>
      <c r="I80" s="70"/>
      <c r="J80" s="71"/>
      <c r="K80" s="72"/>
      <c r="L80" s="4"/>
      <c r="M80" s="4"/>
      <c r="N80" s="4"/>
      <c r="O80" s="4"/>
      <c r="P80" s="4"/>
      <c r="Q80" s="4"/>
    </row>
    <row r="81" customFormat="false" ht="18" hidden="false" customHeight="true" outlineLevel="0" collapsed="false">
      <c r="A81" s="63" t="str">
        <f aca="false">IF($B81="","","PM-"&amp;TEXT(ROW()-5,"0000"))</f>
        <v/>
      </c>
      <c r="B81" s="64"/>
      <c r="C81" s="65" t="str">
        <f aca="false">IF($B81="","",MONTH($B81))</f>
        <v/>
      </c>
      <c r="D81" s="66"/>
      <c r="E81" s="66"/>
      <c r="F81" s="66"/>
      <c r="G81" s="66"/>
      <c r="H81" s="66"/>
      <c r="I81" s="66"/>
      <c r="J81" s="67"/>
      <c r="K81" s="68"/>
      <c r="L81" s="4"/>
      <c r="M81" s="4"/>
      <c r="N81" s="4"/>
      <c r="O81" s="4"/>
      <c r="P81" s="4"/>
      <c r="Q81" s="4"/>
    </row>
    <row r="82" customFormat="false" ht="18" hidden="false" customHeight="true" outlineLevel="0" collapsed="false">
      <c r="A82" s="63" t="str">
        <f aca="false">IF($B82="","","PM-"&amp;TEXT(ROW()-5,"0000"))</f>
        <v/>
      </c>
      <c r="B82" s="69"/>
      <c r="C82" s="65" t="str">
        <f aca="false">IF($B82="","",MONTH($B82))</f>
        <v/>
      </c>
      <c r="D82" s="70"/>
      <c r="E82" s="70"/>
      <c r="F82" s="70"/>
      <c r="G82" s="70"/>
      <c r="H82" s="70"/>
      <c r="I82" s="70"/>
      <c r="J82" s="71"/>
      <c r="K82" s="72"/>
      <c r="L82" s="4"/>
      <c r="M82" s="4"/>
      <c r="N82" s="4"/>
      <c r="O82" s="4"/>
      <c r="P82" s="4"/>
      <c r="Q82" s="4"/>
    </row>
    <row r="83" customFormat="false" ht="18" hidden="false" customHeight="true" outlineLevel="0" collapsed="false">
      <c r="A83" s="63" t="str">
        <f aca="false">IF($B83="","","PM-"&amp;TEXT(ROW()-5,"0000"))</f>
        <v/>
      </c>
      <c r="B83" s="64"/>
      <c r="C83" s="65" t="str">
        <f aca="false">IF($B83="","",MONTH($B83))</f>
        <v/>
      </c>
      <c r="D83" s="66"/>
      <c r="E83" s="66"/>
      <c r="F83" s="66"/>
      <c r="G83" s="66"/>
      <c r="H83" s="66"/>
      <c r="I83" s="66"/>
      <c r="J83" s="67"/>
      <c r="K83" s="68"/>
      <c r="L83" s="4"/>
      <c r="M83" s="4"/>
      <c r="N83" s="4"/>
      <c r="O83" s="4"/>
      <c r="P83" s="4"/>
      <c r="Q83" s="4"/>
    </row>
    <row r="84" customFormat="false" ht="18" hidden="false" customHeight="true" outlineLevel="0" collapsed="false">
      <c r="A84" s="63" t="str">
        <f aca="false">IF($B84="","","PM-"&amp;TEXT(ROW()-5,"0000"))</f>
        <v/>
      </c>
      <c r="B84" s="69"/>
      <c r="C84" s="65" t="str">
        <f aca="false">IF($B84="","",MONTH($B84))</f>
        <v/>
      </c>
      <c r="D84" s="70"/>
      <c r="E84" s="70"/>
      <c r="F84" s="70"/>
      <c r="G84" s="70"/>
      <c r="H84" s="70"/>
      <c r="I84" s="70"/>
      <c r="J84" s="71"/>
      <c r="K84" s="72"/>
      <c r="L84" s="4"/>
      <c r="M84" s="4"/>
      <c r="N84" s="4"/>
      <c r="O84" s="4"/>
      <c r="P84" s="4"/>
      <c r="Q84" s="4"/>
    </row>
    <row r="85" customFormat="false" ht="18" hidden="false" customHeight="true" outlineLevel="0" collapsed="false">
      <c r="A85" s="63" t="str">
        <f aca="false">IF($B85="","","PM-"&amp;TEXT(ROW()-5,"0000"))</f>
        <v/>
      </c>
      <c r="B85" s="64"/>
      <c r="C85" s="65" t="str">
        <f aca="false">IF($B85="","",MONTH($B85))</f>
        <v/>
      </c>
      <c r="D85" s="66"/>
      <c r="E85" s="66"/>
      <c r="F85" s="66"/>
      <c r="G85" s="66"/>
      <c r="H85" s="66"/>
      <c r="I85" s="66"/>
      <c r="J85" s="67"/>
      <c r="K85" s="68"/>
      <c r="L85" s="4"/>
      <c r="M85" s="4"/>
      <c r="N85" s="4"/>
      <c r="O85" s="4"/>
      <c r="P85" s="4"/>
      <c r="Q85" s="4"/>
    </row>
    <row r="86" customFormat="false" ht="18" hidden="false" customHeight="true" outlineLevel="0" collapsed="false">
      <c r="A86" s="63" t="str">
        <f aca="false">IF($B86="","","PM-"&amp;TEXT(ROW()-5,"0000"))</f>
        <v/>
      </c>
      <c r="B86" s="69"/>
      <c r="C86" s="65" t="str">
        <f aca="false">IF($B86="","",MONTH($B86))</f>
        <v/>
      </c>
      <c r="D86" s="70"/>
      <c r="E86" s="70"/>
      <c r="F86" s="70"/>
      <c r="G86" s="70"/>
      <c r="H86" s="70"/>
      <c r="I86" s="70"/>
      <c r="J86" s="71"/>
      <c r="K86" s="72"/>
      <c r="L86" s="4"/>
      <c r="M86" s="4"/>
      <c r="N86" s="4"/>
      <c r="O86" s="4"/>
      <c r="P86" s="4"/>
      <c r="Q86" s="4"/>
    </row>
    <row r="87" customFormat="false" ht="18" hidden="false" customHeight="true" outlineLevel="0" collapsed="false">
      <c r="A87" s="63" t="str">
        <f aca="false">IF($B87="","","PM-"&amp;TEXT(ROW()-5,"0000"))</f>
        <v/>
      </c>
      <c r="B87" s="64"/>
      <c r="C87" s="65" t="str">
        <f aca="false">IF($B87="","",MONTH($B87))</f>
        <v/>
      </c>
      <c r="D87" s="66"/>
      <c r="E87" s="66"/>
      <c r="F87" s="66"/>
      <c r="G87" s="66"/>
      <c r="H87" s="66"/>
      <c r="I87" s="66"/>
      <c r="J87" s="67"/>
      <c r="K87" s="68"/>
      <c r="L87" s="4"/>
      <c r="M87" s="4"/>
      <c r="N87" s="4"/>
      <c r="O87" s="4"/>
      <c r="P87" s="4"/>
      <c r="Q87" s="4"/>
    </row>
    <row r="88" customFormat="false" ht="18" hidden="false" customHeight="true" outlineLevel="0" collapsed="false">
      <c r="A88" s="63" t="str">
        <f aca="false">IF($B88="","","PM-"&amp;TEXT(ROW()-5,"0000"))</f>
        <v/>
      </c>
      <c r="B88" s="69"/>
      <c r="C88" s="65" t="str">
        <f aca="false">IF($B88="","",MONTH($B88))</f>
        <v/>
      </c>
      <c r="D88" s="70"/>
      <c r="E88" s="70"/>
      <c r="F88" s="70"/>
      <c r="G88" s="70"/>
      <c r="H88" s="70"/>
      <c r="I88" s="70"/>
      <c r="J88" s="71"/>
      <c r="K88" s="72"/>
      <c r="L88" s="4"/>
      <c r="M88" s="4"/>
      <c r="N88" s="4"/>
      <c r="O88" s="4"/>
      <c r="P88" s="4"/>
      <c r="Q88" s="4"/>
    </row>
    <row r="89" customFormat="false" ht="18" hidden="false" customHeight="true" outlineLevel="0" collapsed="false">
      <c r="A89" s="63" t="str">
        <f aca="false">IF($B89="","","PM-"&amp;TEXT(ROW()-5,"0000"))</f>
        <v/>
      </c>
      <c r="B89" s="64"/>
      <c r="C89" s="65" t="str">
        <f aca="false">IF($B89="","",MONTH($B89))</f>
        <v/>
      </c>
      <c r="D89" s="66"/>
      <c r="E89" s="66"/>
      <c r="F89" s="66"/>
      <c r="G89" s="66"/>
      <c r="H89" s="66"/>
      <c r="I89" s="66"/>
      <c r="J89" s="67"/>
      <c r="K89" s="68"/>
      <c r="L89" s="4"/>
      <c r="M89" s="4"/>
      <c r="N89" s="4"/>
      <c r="O89" s="4"/>
      <c r="P89" s="4"/>
      <c r="Q89" s="4"/>
    </row>
    <row r="90" customFormat="false" ht="18" hidden="false" customHeight="true" outlineLevel="0" collapsed="false">
      <c r="A90" s="63" t="str">
        <f aca="false">IF($B90="","","PM-"&amp;TEXT(ROW()-5,"0000"))</f>
        <v/>
      </c>
      <c r="B90" s="69"/>
      <c r="C90" s="65" t="str">
        <f aca="false">IF($B90="","",MONTH($B90))</f>
        <v/>
      </c>
      <c r="D90" s="70"/>
      <c r="E90" s="70"/>
      <c r="F90" s="70"/>
      <c r="G90" s="70"/>
      <c r="H90" s="70"/>
      <c r="I90" s="70"/>
      <c r="J90" s="71"/>
      <c r="K90" s="72"/>
      <c r="L90" s="4"/>
      <c r="M90" s="4"/>
      <c r="N90" s="4"/>
      <c r="O90" s="4"/>
      <c r="P90" s="4"/>
      <c r="Q90" s="4"/>
    </row>
    <row r="91" customFormat="false" ht="18" hidden="false" customHeight="true" outlineLevel="0" collapsed="false">
      <c r="A91" s="63" t="str">
        <f aca="false">IF($B91="","","PM-"&amp;TEXT(ROW()-5,"0000"))</f>
        <v/>
      </c>
      <c r="B91" s="64"/>
      <c r="C91" s="65" t="str">
        <f aca="false">IF($B91="","",MONTH($B91))</f>
        <v/>
      </c>
      <c r="D91" s="66"/>
      <c r="E91" s="66"/>
      <c r="F91" s="66"/>
      <c r="G91" s="66"/>
      <c r="H91" s="66"/>
      <c r="I91" s="66"/>
      <c r="J91" s="67"/>
      <c r="K91" s="68"/>
      <c r="L91" s="4"/>
      <c r="M91" s="4"/>
      <c r="N91" s="4"/>
      <c r="O91" s="4"/>
      <c r="P91" s="4"/>
      <c r="Q91" s="4"/>
    </row>
    <row r="92" customFormat="false" ht="18" hidden="false" customHeight="true" outlineLevel="0" collapsed="false">
      <c r="A92" s="63" t="str">
        <f aca="false">IF($B92="","","PM-"&amp;TEXT(ROW()-5,"0000"))</f>
        <v/>
      </c>
      <c r="B92" s="69"/>
      <c r="C92" s="65" t="str">
        <f aca="false">IF($B92="","",MONTH($B92))</f>
        <v/>
      </c>
      <c r="D92" s="70"/>
      <c r="E92" s="70"/>
      <c r="F92" s="70"/>
      <c r="G92" s="70"/>
      <c r="H92" s="70"/>
      <c r="I92" s="70"/>
      <c r="J92" s="71"/>
      <c r="K92" s="72"/>
      <c r="L92" s="4"/>
      <c r="M92" s="4"/>
      <c r="N92" s="4"/>
      <c r="O92" s="4"/>
      <c r="P92" s="4"/>
      <c r="Q92" s="4"/>
    </row>
    <row r="93" customFormat="false" ht="18" hidden="false" customHeight="true" outlineLevel="0" collapsed="false">
      <c r="A93" s="63" t="str">
        <f aca="false">IF($B93="","","PM-"&amp;TEXT(ROW()-5,"0000"))</f>
        <v/>
      </c>
      <c r="B93" s="64"/>
      <c r="C93" s="65" t="str">
        <f aca="false">IF($B93="","",MONTH($B93))</f>
        <v/>
      </c>
      <c r="D93" s="66"/>
      <c r="E93" s="66"/>
      <c r="F93" s="66"/>
      <c r="G93" s="66"/>
      <c r="H93" s="66"/>
      <c r="I93" s="66"/>
      <c r="J93" s="67"/>
      <c r="K93" s="68"/>
      <c r="L93" s="4"/>
      <c r="M93" s="4"/>
      <c r="N93" s="4"/>
      <c r="O93" s="4"/>
      <c r="P93" s="4"/>
      <c r="Q93" s="4"/>
    </row>
    <row r="94" customFormat="false" ht="18" hidden="false" customHeight="true" outlineLevel="0" collapsed="false">
      <c r="A94" s="63" t="str">
        <f aca="false">IF($B94="","","PM-"&amp;TEXT(ROW()-5,"0000"))</f>
        <v/>
      </c>
      <c r="B94" s="69"/>
      <c r="C94" s="65" t="str">
        <f aca="false">IF($B94="","",MONTH($B94))</f>
        <v/>
      </c>
      <c r="D94" s="70"/>
      <c r="E94" s="70"/>
      <c r="F94" s="70"/>
      <c r="G94" s="70"/>
      <c r="H94" s="70"/>
      <c r="I94" s="70"/>
      <c r="J94" s="71"/>
      <c r="K94" s="72"/>
      <c r="L94" s="4"/>
      <c r="M94" s="4"/>
      <c r="N94" s="4"/>
      <c r="O94" s="4"/>
      <c r="P94" s="4"/>
      <c r="Q94" s="4"/>
    </row>
    <row r="95" customFormat="false" ht="18" hidden="false" customHeight="true" outlineLevel="0" collapsed="false">
      <c r="A95" s="63" t="str">
        <f aca="false">IF($B95="","","PM-"&amp;TEXT(ROW()-5,"0000"))</f>
        <v/>
      </c>
      <c r="B95" s="64"/>
      <c r="C95" s="65" t="str">
        <f aca="false">IF($B95="","",MONTH($B95))</f>
        <v/>
      </c>
      <c r="D95" s="66"/>
      <c r="E95" s="66"/>
      <c r="F95" s="66"/>
      <c r="G95" s="66"/>
      <c r="H95" s="66"/>
      <c r="I95" s="66"/>
      <c r="J95" s="67"/>
      <c r="K95" s="68"/>
      <c r="L95" s="4"/>
      <c r="M95" s="4"/>
      <c r="N95" s="4"/>
      <c r="O95" s="4"/>
      <c r="P95" s="4"/>
      <c r="Q95" s="4"/>
    </row>
    <row r="96" customFormat="false" ht="18" hidden="false" customHeight="true" outlineLevel="0" collapsed="false">
      <c r="A96" s="63" t="str">
        <f aca="false">IF($B96="","","PM-"&amp;TEXT(ROW()-5,"0000"))</f>
        <v/>
      </c>
      <c r="B96" s="69"/>
      <c r="C96" s="65" t="str">
        <f aca="false">IF($B96="","",MONTH($B96))</f>
        <v/>
      </c>
      <c r="D96" s="70"/>
      <c r="E96" s="70"/>
      <c r="F96" s="70"/>
      <c r="G96" s="70"/>
      <c r="H96" s="70"/>
      <c r="I96" s="70"/>
      <c r="J96" s="71"/>
      <c r="K96" s="72"/>
      <c r="L96" s="4"/>
      <c r="M96" s="4"/>
      <c r="N96" s="4"/>
      <c r="O96" s="4"/>
      <c r="P96" s="4"/>
      <c r="Q96" s="4"/>
    </row>
    <row r="97" customFormat="false" ht="18" hidden="false" customHeight="true" outlineLevel="0" collapsed="false">
      <c r="A97" s="63" t="str">
        <f aca="false">IF($B97="","","PM-"&amp;TEXT(ROW()-5,"0000"))</f>
        <v/>
      </c>
      <c r="B97" s="64"/>
      <c r="C97" s="65" t="str">
        <f aca="false">IF($B97="","",MONTH($B97))</f>
        <v/>
      </c>
      <c r="D97" s="66"/>
      <c r="E97" s="66"/>
      <c r="F97" s="66"/>
      <c r="G97" s="66"/>
      <c r="H97" s="66"/>
      <c r="I97" s="66"/>
      <c r="J97" s="67"/>
      <c r="K97" s="68"/>
      <c r="L97" s="4"/>
      <c r="M97" s="4"/>
      <c r="N97" s="4"/>
      <c r="O97" s="4"/>
      <c r="P97" s="4"/>
      <c r="Q97" s="4"/>
    </row>
    <row r="98" customFormat="false" ht="18" hidden="false" customHeight="true" outlineLevel="0" collapsed="false">
      <c r="A98" s="63" t="str">
        <f aca="false">IF($B98="","","PM-"&amp;TEXT(ROW()-5,"0000"))</f>
        <v/>
      </c>
      <c r="B98" s="69"/>
      <c r="C98" s="65" t="str">
        <f aca="false">IF($B98="","",MONTH($B98))</f>
        <v/>
      </c>
      <c r="D98" s="70"/>
      <c r="E98" s="70"/>
      <c r="F98" s="70"/>
      <c r="G98" s="70"/>
      <c r="H98" s="70"/>
      <c r="I98" s="70"/>
      <c r="J98" s="71"/>
      <c r="K98" s="72"/>
      <c r="L98" s="4"/>
      <c r="M98" s="4"/>
      <c r="N98" s="4"/>
      <c r="O98" s="4"/>
      <c r="P98" s="4"/>
      <c r="Q98" s="4"/>
    </row>
    <row r="99" customFormat="false" ht="18" hidden="false" customHeight="true" outlineLevel="0" collapsed="false">
      <c r="A99" s="63" t="str">
        <f aca="false">IF($B99="","","PM-"&amp;TEXT(ROW()-5,"0000"))</f>
        <v/>
      </c>
      <c r="B99" s="64"/>
      <c r="C99" s="65" t="str">
        <f aca="false">IF($B99="","",MONTH($B99))</f>
        <v/>
      </c>
      <c r="D99" s="66"/>
      <c r="E99" s="66"/>
      <c r="F99" s="66"/>
      <c r="G99" s="66"/>
      <c r="H99" s="66"/>
      <c r="I99" s="66"/>
      <c r="J99" s="67"/>
      <c r="K99" s="68"/>
      <c r="L99" s="4"/>
      <c r="M99" s="4"/>
      <c r="N99" s="4"/>
      <c r="O99" s="4"/>
      <c r="P99" s="4"/>
      <c r="Q99" s="4"/>
    </row>
    <row r="100" customFormat="false" ht="18" hidden="false" customHeight="true" outlineLevel="0" collapsed="false">
      <c r="A100" s="63" t="str">
        <f aca="false">IF($B100="","","PM-"&amp;TEXT(ROW()-5,"0000"))</f>
        <v/>
      </c>
      <c r="B100" s="69"/>
      <c r="C100" s="65" t="str">
        <f aca="false">IF($B100="","",MONTH($B100))</f>
        <v/>
      </c>
      <c r="D100" s="70"/>
      <c r="E100" s="70"/>
      <c r="F100" s="70"/>
      <c r="G100" s="70"/>
      <c r="H100" s="70"/>
      <c r="I100" s="70"/>
      <c r="J100" s="71"/>
      <c r="K100" s="72"/>
      <c r="L100" s="4"/>
      <c r="M100" s="4"/>
      <c r="N100" s="4"/>
      <c r="O100" s="4"/>
      <c r="P100" s="4"/>
      <c r="Q100" s="4"/>
    </row>
    <row r="101" customFormat="false" ht="18" hidden="false" customHeight="true" outlineLevel="0" collapsed="false">
      <c r="A101" s="63" t="str">
        <f aca="false">IF($B101="","","PM-"&amp;TEXT(ROW()-5,"0000"))</f>
        <v/>
      </c>
      <c r="B101" s="64"/>
      <c r="C101" s="65" t="str">
        <f aca="false">IF($B101="","",MONTH($B101))</f>
        <v/>
      </c>
      <c r="D101" s="66"/>
      <c r="E101" s="66"/>
      <c r="F101" s="66"/>
      <c r="G101" s="66"/>
      <c r="H101" s="66"/>
      <c r="I101" s="66"/>
      <c r="J101" s="67"/>
      <c r="K101" s="68"/>
      <c r="L101" s="4"/>
      <c r="M101" s="4"/>
      <c r="N101" s="4"/>
      <c r="O101" s="4"/>
      <c r="P101" s="4"/>
      <c r="Q101" s="4"/>
    </row>
    <row r="102" customFormat="false" ht="18" hidden="false" customHeight="true" outlineLevel="0" collapsed="false">
      <c r="A102" s="63" t="str">
        <f aca="false">IF($B102="","","PM-"&amp;TEXT(ROW()-5,"0000"))</f>
        <v/>
      </c>
      <c r="B102" s="69"/>
      <c r="C102" s="65" t="str">
        <f aca="false">IF($B102="","",MONTH($B102))</f>
        <v/>
      </c>
      <c r="D102" s="70"/>
      <c r="E102" s="70"/>
      <c r="F102" s="70"/>
      <c r="G102" s="70"/>
      <c r="H102" s="70"/>
      <c r="I102" s="70"/>
      <c r="J102" s="71"/>
      <c r="K102" s="72"/>
      <c r="L102" s="4"/>
      <c r="M102" s="4"/>
      <c r="N102" s="4"/>
      <c r="O102" s="4"/>
      <c r="P102" s="4"/>
      <c r="Q102" s="4"/>
    </row>
    <row r="103" customFormat="false" ht="18" hidden="false" customHeight="true" outlineLevel="0" collapsed="false">
      <c r="A103" s="63" t="str">
        <f aca="false">IF($B103="","","PM-"&amp;TEXT(ROW()-5,"0000"))</f>
        <v/>
      </c>
      <c r="B103" s="64"/>
      <c r="C103" s="65" t="str">
        <f aca="false">IF($B103="","",MONTH($B103))</f>
        <v/>
      </c>
      <c r="D103" s="66"/>
      <c r="E103" s="66"/>
      <c r="F103" s="66"/>
      <c r="G103" s="66"/>
      <c r="H103" s="66"/>
      <c r="I103" s="66"/>
      <c r="J103" s="67"/>
      <c r="K103" s="68"/>
      <c r="L103" s="4"/>
      <c r="M103" s="4"/>
      <c r="N103" s="4"/>
      <c r="O103" s="4"/>
      <c r="P103" s="4"/>
      <c r="Q103" s="4"/>
    </row>
    <row r="104" customFormat="false" ht="18" hidden="false" customHeight="true" outlineLevel="0" collapsed="false">
      <c r="A104" s="63" t="str">
        <f aca="false">IF($B104="","","PM-"&amp;TEXT(ROW()-5,"0000"))</f>
        <v/>
      </c>
      <c r="B104" s="69"/>
      <c r="C104" s="65" t="str">
        <f aca="false">IF($B104="","",MONTH($B104))</f>
        <v/>
      </c>
      <c r="D104" s="70"/>
      <c r="E104" s="70"/>
      <c r="F104" s="70"/>
      <c r="G104" s="70"/>
      <c r="H104" s="70"/>
      <c r="I104" s="70"/>
      <c r="J104" s="71"/>
      <c r="K104" s="72"/>
      <c r="L104" s="4"/>
      <c r="M104" s="4"/>
      <c r="N104" s="4"/>
      <c r="O104" s="4"/>
      <c r="P104" s="4"/>
      <c r="Q104" s="4"/>
    </row>
    <row r="105" customFormat="false" ht="18" hidden="false" customHeight="true" outlineLevel="0" collapsed="false">
      <c r="A105" s="63" t="str">
        <f aca="false">IF($B105="","","PM-"&amp;TEXT(ROW()-5,"0000"))</f>
        <v/>
      </c>
      <c r="B105" s="64"/>
      <c r="C105" s="65" t="str">
        <f aca="false">IF($B105="","",MONTH($B105))</f>
        <v/>
      </c>
      <c r="D105" s="66"/>
      <c r="E105" s="66"/>
      <c r="F105" s="66"/>
      <c r="G105" s="66"/>
      <c r="H105" s="66"/>
      <c r="I105" s="66"/>
      <c r="J105" s="67"/>
      <c r="K105" s="68"/>
      <c r="L105" s="4"/>
      <c r="M105" s="4"/>
      <c r="N105" s="4"/>
      <c r="O105" s="4"/>
      <c r="P105" s="4"/>
      <c r="Q105" s="4"/>
    </row>
    <row r="106" customFormat="false" ht="18" hidden="false" customHeight="true" outlineLevel="0" collapsed="false">
      <c r="A106" s="63" t="str">
        <f aca="false">IF($B106="","","PM-"&amp;TEXT(ROW()-5,"0000"))</f>
        <v/>
      </c>
      <c r="B106" s="69"/>
      <c r="C106" s="65" t="str">
        <f aca="false">IF($B106="","",MONTH($B106))</f>
        <v/>
      </c>
      <c r="D106" s="70"/>
      <c r="E106" s="70"/>
      <c r="F106" s="70"/>
      <c r="G106" s="70"/>
      <c r="H106" s="70"/>
      <c r="I106" s="70"/>
      <c r="J106" s="71"/>
      <c r="K106" s="72"/>
      <c r="L106" s="4"/>
      <c r="M106" s="4"/>
      <c r="N106" s="4"/>
      <c r="O106" s="4"/>
      <c r="P106" s="4"/>
      <c r="Q106" s="4"/>
    </row>
    <row r="107" customFormat="false" ht="18" hidden="false" customHeight="true" outlineLevel="0" collapsed="false">
      <c r="A107" s="63" t="str">
        <f aca="false">IF($B107="","","PM-"&amp;TEXT(ROW()-5,"0000"))</f>
        <v/>
      </c>
      <c r="B107" s="64"/>
      <c r="C107" s="65" t="str">
        <f aca="false">IF($B107="","",MONTH($B107))</f>
        <v/>
      </c>
      <c r="D107" s="66"/>
      <c r="E107" s="66"/>
      <c r="F107" s="66"/>
      <c r="G107" s="66"/>
      <c r="H107" s="66"/>
      <c r="I107" s="66"/>
      <c r="J107" s="67"/>
      <c r="K107" s="68"/>
      <c r="L107" s="4"/>
      <c r="M107" s="4"/>
      <c r="N107" s="4"/>
      <c r="O107" s="4"/>
      <c r="P107" s="4"/>
      <c r="Q107" s="4"/>
    </row>
    <row r="108" customFormat="false" ht="18" hidden="false" customHeight="true" outlineLevel="0" collapsed="false">
      <c r="A108" s="63" t="str">
        <f aca="false">IF($B108="","","PM-"&amp;TEXT(ROW()-5,"0000"))</f>
        <v/>
      </c>
      <c r="B108" s="69"/>
      <c r="C108" s="65" t="str">
        <f aca="false">IF($B108="","",MONTH($B108))</f>
        <v/>
      </c>
      <c r="D108" s="70"/>
      <c r="E108" s="70"/>
      <c r="F108" s="70"/>
      <c r="G108" s="70"/>
      <c r="H108" s="70"/>
      <c r="I108" s="70"/>
      <c r="J108" s="71"/>
      <c r="K108" s="72"/>
      <c r="L108" s="4"/>
      <c r="M108" s="4"/>
      <c r="N108" s="4"/>
      <c r="O108" s="4"/>
      <c r="P108" s="4"/>
      <c r="Q108" s="4"/>
    </row>
    <row r="109" customFormat="false" ht="18" hidden="false" customHeight="true" outlineLevel="0" collapsed="false">
      <c r="A109" s="63" t="str">
        <f aca="false">IF($B109="","","PM-"&amp;TEXT(ROW()-5,"0000"))</f>
        <v/>
      </c>
      <c r="B109" s="64"/>
      <c r="C109" s="65" t="str">
        <f aca="false">IF($B109="","",MONTH($B109))</f>
        <v/>
      </c>
      <c r="D109" s="66"/>
      <c r="E109" s="66"/>
      <c r="F109" s="66"/>
      <c r="G109" s="66"/>
      <c r="H109" s="66"/>
      <c r="I109" s="66"/>
      <c r="J109" s="67"/>
      <c r="K109" s="68"/>
      <c r="L109" s="4"/>
      <c r="M109" s="4"/>
      <c r="N109" s="4"/>
      <c r="O109" s="4"/>
      <c r="P109" s="4"/>
      <c r="Q109" s="4"/>
    </row>
    <row r="110" customFormat="false" ht="18" hidden="false" customHeight="true" outlineLevel="0" collapsed="false">
      <c r="A110" s="63" t="str">
        <f aca="false">IF($B110="","","PM-"&amp;TEXT(ROW()-5,"0000"))</f>
        <v/>
      </c>
      <c r="B110" s="69"/>
      <c r="C110" s="65" t="str">
        <f aca="false">IF($B110="","",MONTH($B110))</f>
        <v/>
      </c>
      <c r="D110" s="70"/>
      <c r="E110" s="70"/>
      <c r="F110" s="70"/>
      <c r="G110" s="70"/>
      <c r="H110" s="70"/>
      <c r="I110" s="70"/>
      <c r="J110" s="71"/>
      <c r="K110" s="72"/>
      <c r="L110" s="4"/>
      <c r="M110" s="4"/>
      <c r="N110" s="4"/>
      <c r="O110" s="4"/>
      <c r="P110" s="4"/>
      <c r="Q110" s="4"/>
    </row>
    <row r="111" customFormat="false" ht="18" hidden="false" customHeight="true" outlineLevel="0" collapsed="false">
      <c r="A111" s="63" t="str">
        <f aca="false">IF($B111="","","PM-"&amp;TEXT(ROW()-5,"0000"))</f>
        <v/>
      </c>
      <c r="B111" s="64"/>
      <c r="C111" s="65" t="str">
        <f aca="false">IF($B111="","",MONTH($B111))</f>
        <v/>
      </c>
      <c r="D111" s="66"/>
      <c r="E111" s="66"/>
      <c r="F111" s="66"/>
      <c r="G111" s="66"/>
      <c r="H111" s="66"/>
      <c r="I111" s="66"/>
      <c r="J111" s="67"/>
      <c r="K111" s="68"/>
      <c r="L111" s="4"/>
      <c r="M111" s="4"/>
      <c r="N111" s="4"/>
      <c r="O111" s="4"/>
      <c r="P111" s="4"/>
      <c r="Q111" s="4"/>
    </row>
    <row r="112" customFormat="false" ht="18" hidden="false" customHeight="true" outlineLevel="0" collapsed="false">
      <c r="A112" s="63" t="str">
        <f aca="false">IF($B112="","","PM-"&amp;TEXT(ROW()-5,"0000"))</f>
        <v/>
      </c>
      <c r="B112" s="69"/>
      <c r="C112" s="65" t="str">
        <f aca="false">IF($B112="","",MONTH($B112))</f>
        <v/>
      </c>
      <c r="D112" s="70"/>
      <c r="E112" s="70"/>
      <c r="F112" s="70"/>
      <c r="G112" s="70"/>
      <c r="H112" s="70"/>
      <c r="I112" s="70"/>
      <c r="J112" s="71"/>
      <c r="K112" s="72"/>
      <c r="L112" s="4"/>
      <c r="M112" s="4"/>
      <c r="N112" s="4"/>
      <c r="O112" s="4"/>
      <c r="P112" s="4"/>
      <c r="Q112" s="4"/>
    </row>
    <row r="113" customFormat="false" ht="18" hidden="false" customHeight="true" outlineLevel="0" collapsed="false">
      <c r="A113" s="63" t="str">
        <f aca="false">IF($B113="","","PM-"&amp;TEXT(ROW()-5,"0000"))</f>
        <v/>
      </c>
      <c r="B113" s="64"/>
      <c r="C113" s="65" t="str">
        <f aca="false">IF($B113="","",MONTH($B113))</f>
        <v/>
      </c>
      <c r="D113" s="66"/>
      <c r="E113" s="66"/>
      <c r="F113" s="66"/>
      <c r="G113" s="66"/>
      <c r="H113" s="66"/>
      <c r="I113" s="66"/>
      <c r="J113" s="67"/>
      <c r="K113" s="68"/>
      <c r="L113" s="4"/>
      <c r="M113" s="4"/>
      <c r="N113" s="4"/>
      <c r="O113" s="4"/>
      <c r="P113" s="4"/>
      <c r="Q113" s="4"/>
    </row>
    <row r="114" customFormat="false" ht="18" hidden="false" customHeight="true" outlineLevel="0" collapsed="false">
      <c r="A114" s="63" t="str">
        <f aca="false">IF($B114="","","PM-"&amp;TEXT(ROW()-5,"0000"))</f>
        <v/>
      </c>
      <c r="B114" s="69"/>
      <c r="C114" s="65" t="str">
        <f aca="false">IF($B114="","",MONTH($B114))</f>
        <v/>
      </c>
      <c r="D114" s="70"/>
      <c r="E114" s="70"/>
      <c r="F114" s="70"/>
      <c r="G114" s="70"/>
      <c r="H114" s="70"/>
      <c r="I114" s="70"/>
      <c r="J114" s="71"/>
      <c r="K114" s="72"/>
      <c r="L114" s="4"/>
      <c r="M114" s="4"/>
      <c r="N114" s="4"/>
      <c r="O114" s="4"/>
      <c r="P114" s="4"/>
      <c r="Q114" s="4"/>
    </row>
    <row r="115" customFormat="false" ht="18" hidden="false" customHeight="true" outlineLevel="0" collapsed="false">
      <c r="A115" s="63" t="str">
        <f aca="false">IF($B115="","","PM-"&amp;TEXT(ROW()-5,"0000"))</f>
        <v/>
      </c>
      <c r="B115" s="64"/>
      <c r="C115" s="65" t="str">
        <f aca="false">IF($B115="","",MONTH($B115))</f>
        <v/>
      </c>
      <c r="D115" s="66"/>
      <c r="E115" s="66"/>
      <c r="F115" s="66"/>
      <c r="G115" s="66"/>
      <c r="H115" s="66"/>
      <c r="I115" s="66"/>
      <c r="J115" s="67"/>
      <c r="K115" s="68"/>
      <c r="L115" s="4"/>
      <c r="M115" s="4"/>
      <c r="N115" s="4"/>
      <c r="O115" s="4"/>
      <c r="P115" s="4"/>
      <c r="Q115" s="4"/>
    </row>
    <row r="116" customFormat="false" ht="18" hidden="false" customHeight="true" outlineLevel="0" collapsed="false">
      <c r="A116" s="63" t="str">
        <f aca="false">IF($B116="","","PM-"&amp;TEXT(ROW()-5,"0000"))</f>
        <v/>
      </c>
      <c r="B116" s="69"/>
      <c r="C116" s="65" t="str">
        <f aca="false">IF($B116="","",MONTH($B116))</f>
        <v/>
      </c>
      <c r="D116" s="70"/>
      <c r="E116" s="70"/>
      <c r="F116" s="70"/>
      <c r="G116" s="70"/>
      <c r="H116" s="70"/>
      <c r="I116" s="70"/>
      <c r="J116" s="71"/>
      <c r="K116" s="72"/>
      <c r="L116" s="4"/>
      <c r="M116" s="4"/>
      <c r="N116" s="4"/>
      <c r="O116" s="4"/>
      <c r="P116" s="4"/>
      <c r="Q116" s="4"/>
    </row>
    <row r="117" customFormat="false" ht="18" hidden="false" customHeight="true" outlineLevel="0" collapsed="false">
      <c r="A117" s="63" t="str">
        <f aca="false">IF($B117="","","PM-"&amp;TEXT(ROW()-5,"0000"))</f>
        <v/>
      </c>
      <c r="B117" s="64"/>
      <c r="C117" s="65" t="str">
        <f aca="false">IF($B117="","",MONTH($B117))</f>
        <v/>
      </c>
      <c r="D117" s="66"/>
      <c r="E117" s="66"/>
      <c r="F117" s="66"/>
      <c r="G117" s="66"/>
      <c r="H117" s="66"/>
      <c r="I117" s="66"/>
      <c r="J117" s="67"/>
      <c r="K117" s="68"/>
      <c r="L117" s="4"/>
      <c r="M117" s="4"/>
      <c r="N117" s="4"/>
      <c r="O117" s="4"/>
      <c r="P117" s="4"/>
      <c r="Q117" s="4"/>
    </row>
    <row r="118" customFormat="false" ht="18" hidden="false" customHeight="true" outlineLevel="0" collapsed="false">
      <c r="A118" s="63" t="str">
        <f aca="false">IF($B118="","","PM-"&amp;TEXT(ROW()-5,"0000"))</f>
        <v/>
      </c>
      <c r="B118" s="69"/>
      <c r="C118" s="65" t="str">
        <f aca="false">IF($B118="","",MONTH($B118))</f>
        <v/>
      </c>
      <c r="D118" s="70"/>
      <c r="E118" s="70"/>
      <c r="F118" s="70"/>
      <c r="G118" s="70"/>
      <c r="H118" s="70"/>
      <c r="I118" s="70"/>
      <c r="J118" s="71"/>
      <c r="K118" s="72"/>
      <c r="L118" s="4"/>
      <c r="M118" s="4"/>
      <c r="N118" s="4"/>
      <c r="O118" s="4"/>
      <c r="P118" s="4"/>
      <c r="Q118" s="4"/>
    </row>
    <row r="119" customFormat="false" ht="18" hidden="false" customHeight="true" outlineLevel="0" collapsed="false">
      <c r="A119" s="63" t="str">
        <f aca="false">IF($B119="","","PM-"&amp;TEXT(ROW()-5,"0000"))</f>
        <v/>
      </c>
      <c r="B119" s="64"/>
      <c r="C119" s="65" t="str">
        <f aca="false">IF($B119="","",MONTH($B119))</f>
        <v/>
      </c>
      <c r="D119" s="66"/>
      <c r="E119" s="66"/>
      <c r="F119" s="66"/>
      <c r="G119" s="66"/>
      <c r="H119" s="66"/>
      <c r="I119" s="66"/>
      <c r="J119" s="67"/>
      <c r="K119" s="68"/>
      <c r="L119" s="4"/>
      <c r="M119" s="4"/>
      <c r="N119" s="4"/>
      <c r="O119" s="4"/>
      <c r="P119" s="4"/>
      <c r="Q119" s="4"/>
    </row>
    <row r="120" customFormat="false" ht="18" hidden="false" customHeight="true" outlineLevel="0" collapsed="false">
      <c r="A120" s="63" t="str">
        <f aca="false">IF($B120="","","PM-"&amp;TEXT(ROW()-5,"0000"))</f>
        <v/>
      </c>
      <c r="B120" s="69"/>
      <c r="C120" s="65" t="str">
        <f aca="false">IF($B120="","",MONTH($B120))</f>
        <v/>
      </c>
      <c r="D120" s="70"/>
      <c r="E120" s="70"/>
      <c r="F120" s="70"/>
      <c r="G120" s="70"/>
      <c r="H120" s="70"/>
      <c r="I120" s="70"/>
      <c r="J120" s="71"/>
      <c r="K120" s="72"/>
      <c r="L120" s="4"/>
      <c r="M120" s="4"/>
      <c r="N120" s="4"/>
      <c r="O120" s="4"/>
      <c r="P120" s="4"/>
      <c r="Q120" s="4"/>
    </row>
    <row r="121" customFormat="false" ht="18" hidden="false" customHeight="true" outlineLevel="0" collapsed="false">
      <c r="A121" s="63" t="str">
        <f aca="false">IF($B121="","","PM-"&amp;TEXT(ROW()-5,"0000"))</f>
        <v/>
      </c>
      <c r="B121" s="64"/>
      <c r="C121" s="65" t="str">
        <f aca="false">IF($B121="","",MONTH($B121))</f>
        <v/>
      </c>
      <c r="D121" s="66"/>
      <c r="E121" s="66"/>
      <c r="F121" s="66"/>
      <c r="G121" s="66"/>
      <c r="H121" s="66"/>
      <c r="I121" s="66"/>
      <c r="J121" s="67"/>
      <c r="K121" s="68"/>
      <c r="L121" s="4"/>
      <c r="M121" s="4"/>
      <c r="N121" s="4"/>
      <c r="O121" s="4"/>
      <c r="P121" s="4"/>
      <c r="Q121" s="4"/>
    </row>
    <row r="122" customFormat="false" ht="18" hidden="false" customHeight="true" outlineLevel="0" collapsed="false">
      <c r="A122" s="63" t="str">
        <f aca="false">IF($B122="","","PM-"&amp;TEXT(ROW()-5,"0000"))</f>
        <v/>
      </c>
      <c r="B122" s="69"/>
      <c r="C122" s="65" t="str">
        <f aca="false">IF($B122="","",MONTH($B122))</f>
        <v/>
      </c>
      <c r="D122" s="70"/>
      <c r="E122" s="70"/>
      <c r="F122" s="70"/>
      <c r="G122" s="70"/>
      <c r="H122" s="70"/>
      <c r="I122" s="70"/>
      <c r="J122" s="71"/>
      <c r="K122" s="72"/>
      <c r="L122" s="4"/>
      <c r="M122" s="4"/>
      <c r="N122" s="4"/>
      <c r="O122" s="4"/>
      <c r="P122" s="4"/>
      <c r="Q122" s="4"/>
    </row>
    <row r="123" customFormat="false" ht="18" hidden="false" customHeight="true" outlineLevel="0" collapsed="false">
      <c r="A123" s="63" t="str">
        <f aca="false">IF($B123="","","PM-"&amp;TEXT(ROW()-5,"0000"))</f>
        <v/>
      </c>
      <c r="B123" s="64"/>
      <c r="C123" s="65" t="str">
        <f aca="false">IF($B123="","",MONTH($B123))</f>
        <v/>
      </c>
      <c r="D123" s="66"/>
      <c r="E123" s="66"/>
      <c r="F123" s="66"/>
      <c r="G123" s="66"/>
      <c r="H123" s="66"/>
      <c r="I123" s="66"/>
      <c r="J123" s="67"/>
      <c r="K123" s="68"/>
      <c r="L123" s="4"/>
      <c r="M123" s="4"/>
      <c r="N123" s="4"/>
      <c r="O123" s="4"/>
      <c r="P123" s="4"/>
      <c r="Q123" s="4"/>
    </row>
    <row r="124" customFormat="false" ht="18" hidden="false" customHeight="true" outlineLevel="0" collapsed="false">
      <c r="A124" s="63" t="str">
        <f aca="false">IF($B124="","","PM-"&amp;TEXT(ROW()-5,"0000"))</f>
        <v/>
      </c>
      <c r="B124" s="69"/>
      <c r="C124" s="65" t="str">
        <f aca="false">IF($B124="","",MONTH($B124))</f>
        <v/>
      </c>
      <c r="D124" s="70"/>
      <c r="E124" s="70"/>
      <c r="F124" s="70"/>
      <c r="G124" s="70"/>
      <c r="H124" s="70"/>
      <c r="I124" s="70"/>
      <c r="J124" s="71"/>
      <c r="K124" s="72"/>
      <c r="L124" s="4"/>
      <c r="M124" s="4"/>
      <c r="N124" s="4"/>
      <c r="O124" s="4"/>
      <c r="P124" s="4"/>
      <c r="Q124" s="4"/>
    </row>
    <row r="125" customFormat="false" ht="18" hidden="false" customHeight="true" outlineLevel="0" collapsed="false">
      <c r="A125" s="63" t="str">
        <f aca="false">IF($B125="","","PM-"&amp;TEXT(ROW()-5,"0000"))</f>
        <v/>
      </c>
      <c r="B125" s="64"/>
      <c r="C125" s="65" t="str">
        <f aca="false">IF($B125="","",MONTH($B125))</f>
        <v/>
      </c>
      <c r="D125" s="66"/>
      <c r="E125" s="66"/>
      <c r="F125" s="66"/>
      <c r="G125" s="66"/>
      <c r="H125" s="66"/>
      <c r="I125" s="66"/>
      <c r="J125" s="67"/>
      <c r="K125" s="68"/>
      <c r="L125" s="4"/>
      <c r="M125" s="4"/>
      <c r="N125" s="4"/>
      <c r="O125" s="4"/>
      <c r="P125" s="4"/>
      <c r="Q125" s="4"/>
    </row>
    <row r="126" customFormat="false" ht="18" hidden="false" customHeight="true" outlineLevel="0" collapsed="false">
      <c r="A126" s="63" t="str">
        <f aca="false">IF($B126="","","PM-"&amp;TEXT(ROW()-5,"0000"))</f>
        <v/>
      </c>
      <c r="B126" s="69"/>
      <c r="C126" s="65" t="str">
        <f aca="false">IF($B126="","",MONTH($B126))</f>
        <v/>
      </c>
      <c r="D126" s="70"/>
      <c r="E126" s="70"/>
      <c r="F126" s="70"/>
      <c r="G126" s="70"/>
      <c r="H126" s="70"/>
      <c r="I126" s="70"/>
      <c r="J126" s="71"/>
      <c r="K126" s="72"/>
      <c r="L126" s="4"/>
      <c r="M126" s="4"/>
      <c r="N126" s="4"/>
      <c r="O126" s="4"/>
      <c r="P126" s="4"/>
      <c r="Q126" s="4"/>
    </row>
    <row r="127" customFormat="false" ht="18" hidden="false" customHeight="true" outlineLevel="0" collapsed="false">
      <c r="A127" s="63" t="str">
        <f aca="false">IF($B127="","","PM-"&amp;TEXT(ROW()-5,"0000"))</f>
        <v/>
      </c>
      <c r="B127" s="64"/>
      <c r="C127" s="65" t="str">
        <f aca="false">IF($B127="","",MONTH($B127))</f>
        <v/>
      </c>
      <c r="D127" s="66"/>
      <c r="E127" s="66"/>
      <c r="F127" s="66"/>
      <c r="G127" s="66"/>
      <c r="H127" s="66"/>
      <c r="I127" s="66"/>
      <c r="J127" s="67"/>
      <c r="K127" s="68"/>
      <c r="L127" s="4"/>
      <c r="M127" s="4"/>
      <c r="N127" s="4"/>
      <c r="O127" s="4"/>
      <c r="P127" s="4"/>
      <c r="Q127" s="4"/>
    </row>
    <row r="128" customFormat="false" ht="18" hidden="false" customHeight="true" outlineLevel="0" collapsed="false">
      <c r="A128" s="63" t="str">
        <f aca="false">IF($B128="","","PM-"&amp;TEXT(ROW()-5,"0000"))</f>
        <v/>
      </c>
      <c r="B128" s="69"/>
      <c r="C128" s="65" t="str">
        <f aca="false">IF($B128="","",MONTH($B128))</f>
        <v/>
      </c>
      <c r="D128" s="70"/>
      <c r="E128" s="70"/>
      <c r="F128" s="70"/>
      <c r="G128" s="70"/>
      <c r="H128" s="70"/>
      <c r="I128" s="70"/>
      <c r="J128" s="71"/>
      <c r="K128" s="72"/>
      <c r="L128" s="4"/>
      <c r="M128" s="4"/>
      <c r="N128" s="4"/>
      <c r="O128" s="4"/>
      <c r="P128" s="4"/>
      <c r="Q128" s="4"/>
    </row>
    <row r="129" customFormat="false" ht="18" hidden="false" customHeight="true" outlineLevel="0" collapsed="false">
      <c r="A129" s="63" t="str">
        <f aca="false">IF($B129="","","PM-"&amp;TEXT(ROW()-5,"0000"))</f>
        <v/>
      </c>
      <c r="B129" s="64"/>
      <c r="C129" s="65" t="str">
        <f aca="false">IF($B129="","",MONTH($B129))</f>
        <v/>
      </c>
      <c r="D129" s="66"/>
      <c r="E129" s="66"/>
      <c r="F129" s="66"/>
      <c r="G129" s="66"/>
      <c r="H129" s="66"/>
      <c r="I129" s="66"/>
      <c r="J129" s="67"/>
      <c r="K129" s="68"/>
      <c r="L129" s="4"/>
      <c r="M129" s="4"/>
      <c r="N129" s="4"/>
      <c r="O129" s="4"/>
      <c r="P129" s="4"/>
      <c r="Q129" s="4"/>
    </row>
    <row r="130" customFormat="false" ht="18" hidden="false" customHeight="true" outlineLevel="0" collapsed="false">
      <c r="A130" s="63" t="str">
        <f aca="false">IF($B130="","","PM-"&amp;TEXT(ROW()-5,"0000"))</f>
        <v/>
      </c>
      <c r="B130" s="69"/>
      <c r="C130" s="65" t="str">
        <f aca="false">IF($B130="","",MONTH($B130))</f>
        <v/>
      </c>
      <c r="D130" s="70"/>
      <c r="E130" s="70"/>
      <c r="F130" s="70"/>
      <c r="G130" s="70"/>
      <c r="H130" s="70"/>
      <c r="I130" s="70"/>
      <c r="J130" s="71"/>
      <c r="K130" s="72"/>
      <c r="L130" s="4"/>
      <c r="M130" s="4"/>
      <c r="N130" s="4"/>
      <c r="O130" s="4"/>
      <c r="P130" s="4"/>
      <c r="Q130" s="4"/>
    </row>
    <row r="131" customFormat="false" ht="18" hidden="false" customHeight="true" outlineLevel="0" collapsed="false">
      <c r="A131" s="63" t="str">
        <f aca="false">IF($B131="","","PM-"&amp;TEXT(ROW()-5,"0000"))</f>
        <v/>
      </c>
      <c r="B131" s="64"/>
      <c r="C131" s="65" t="str">
        <f aca="false">IF($B131="","",MONTH($B131))</f>
        <v/>
      </c>
      <c r="D131" s="66"/>
      <c r="E131" s="66"/>
      <c r="F131" s="66"/>
      <c r="G131" s="66"/>
      <c r="H131" s="66"/>
      <c r="I131" s="66"/>
      <c r="J131" s="67"/>
      <c r="K131" s="68"/>
      <c r="L131" s="4"/>
      <c r="M131" s="4"/>
      <c r="N131" s="4"/>
      <c r="O131" s="4"/>
      <c r="P131" s="4"/>
      <c r="Q131" s="4"/>
    </row>
    <row r="132" customFormat="false" ht="18" hidden="false" customHeight="true" outlineLevel="0" collapsed="false">
      <c r="A132" s="63" t="str">
        <f aca="false">IF($B132="","","PM-"&amp;TEXT(ROW()-5,"0000"))</f>
        <v/>
      </c>
      <c r="B132" s="69"/>
      <c r="C132" s="65" t="str">
        <f aca="false">IF($B132="","",MONTH($B132))</f>
        <v/>
      </c>
      <c r="D132" s="70"/>
      <c r="E132" s="70"/>
      <c r="F132" s="70"/>
      <c r="G132" s="70"/>
      <c r="H132" s="70"/>
      <c r="I132" s="70"/>
      <c r="J132" s="71"/>
      <c r="K132" s="72"/>
      <c r="L132" s="4"/>
      <c r="M132" s="4"/>
      <c r="N132" s="4"/>
      <c r="O132" s="4"/>
      <c r="P132" s="4"/>
      <c r="Q132" s="4"/>
    </row>
    <row r="133" customFormat="false" ht="18" hidden="false" customHeight="true" outlineLevel="0" collapsed="false">
      <c r="A133" s="63" t="str">
        <f aca="false">IF($B133="","","PM-"&amp;TEXT(ROW()-5,"0000"))</f>
        <v/>
      </c>
      <c r="B133" s="64"/>
      <c r="C133" s="65" t="str">
        <f aca="false">IF($B133="","",MONTH($B133))</f>
        <v/>
      </c>
      <c r="D133" s="66"/>
      <c r="E133" s="66"/>
      <c r="F133" s="66"/>
      <c r="G133" s="66"/>
      <c r="H133" s="66"/>
      <c r="I133" s="66"/>
      <c r="J133" s="67"/>
      <c r="K133" s="68"/>
      <c r="L133" s="4"/>
      <c r="M133" s="4"/>
      <c r="N133" s="4"/>
      <c r="O133" s="4"/>
      <c r="P133" s="4"/>
      <c r="Q133" s="4"/>
    </row>
    <row r="134" customFormat="false" ht="18" hidden="false" customHeight="true" outlineLevel="0" collapsed="false">
      <c r="A134" s="63" t="str">
        <f aca="false">IF($B134="","","PM-"&amp;TEXT(ROW()-5,"0000"))</f>
        <v/>
      </c>
      <c r="B134" s="69"/>
      <c r="C134" s="65" t="str">
        <f aca="false">IF($B134="","",MONTH($B134))</f>
        <v/>
      </c>
      <c r="D134" s="70"/>
      <c r="E134" s="70"/>
      <c r="F134" s="70"/>
      <c r="G134" s="70"/>
      <c r="H134" s="70"/>
      <c r="I134" s="70"/>
      <c r="J134" s="71"/>
      <c r="K134" s="72"/>
      <c r="L134" s="4"/>
      <c r="M134" s="4"/>
      <c r="N134" s="4"/>
      <c r="O134" s="4"/>
      <c r="P134" s="4"/>
      <c r="Q134" s="4"/>
    </row>
    <row r="135" customFormat="false" ht="18" hidden="false" customHeight="true" outlineLevel="0" collapsed="false">
      <c r="A135" s="63" t="str">
        <f aca="false">IF($B135="","","PM-"&amp;TEXT(ROW()-5,"0000"))</f>
        <v/>
      </c>
      <c r="B135" s="64"/>
      <c r="C135" s="65" t="str">
        <f aca="false">IF($B135="","",MONTH($B135))</f>
        <v/>
      </c>
      <c r="D135" s="66"/>
      <c r="E135" s="66"/>
      <c r="F135" s="66"/>
      <c r="G135" s="66"/>
      <c r="H135" s="66"/>
      <c r="I135" s="66"/>
      <c r="J135" s="67"/>
      <c r="K135" s="68"/>
      <c r="L135" s="4"/>
      <c r="M135" s="4"/>
      <c r="N135" s="4"/>
      <c r="O135" s="4"/>
      <c r="P135" s="4"/>
      <c r="Q135" s="4"/>
    </row>
    <row r="136" customFormat="false" ht="18" hidden="false" customHeight="true" outlineLevel="0" collapsed="false">
      <c r="A136" s="63" t="str">
        <f aca="false">IF($B136="","","PM-"&amp;TEXT(ROW()-5,"0000"))</f>
        <v/>
      </c>
      <c r="B136" s="69"/>
      <c r="C136" s="65" t="str">
        <f aca="false">IF($B136="","",MONTH($B136))</f>
        <v/>
      </c>
      <c r="D136" s="70"/>
      <c r="E136" s="70"/>
      <c r="F136" s="70"/>
      <c r="G136" s="70"/>
      <c r="H136" s="70"/>
      <c r="I136" s="70"/>
      <c r="J136" s="71"/>
      <c r="K136" s="72"/>
      <c r="L136" s="4"/>
      <c r="M136" s="4"/>
      <c r="N136" s="4"/>
      <c r="O136" s="4"/>
      <c r="P136" s="4"/>
      <c r="Q136" s="4"/>
    </row>
    <row r="137" customFormat="false" ht="18" hidden="false" customHeight="true" outlineLevel="0" collapsed="false">
      <c r="A137" s="63" t="str">
        <f aca="false">IF($B137="","","PM-"&amp;TEXT(ROW()-5,"0000"))</f>
        <v/>
      </c>
      <c r="B137" s="64"/>
      <c r="C137" s="65" t="str">
        <f aca="false">IF($B137="","",MONTH($B137))</f>
        <v/>
      </c>
      <c r="D137" s="66"/>
      <c r="E137" s="66"/>
      <c r="F137" s="66"/>
      <c r="G137" s="66"/>
      <c r="H137" s="66"/>
      <c r="I137" s="66"/>
      <c r="J137" s="67"/>
      <c r="K137" s="68"/>
      <c r="L137" s="4"/>
      <c r="M137" s="4"/>
      <c r="N137" s="4"/>
      <c r="O137" s="4"/>
      <c r="P137" s="4"/>
      <c r="Q137" s="4"/>
    </row>
    <row r="138" customFormat="false" ht="18" hidden="false" customHeight="true" outlineLevel="0" collapsed="false">
      <c r="A138" s="63" t="str">
        <f aca="false">IF($B138="","","PM-"&amp;TEXT(ROW()-5,"0000"))</f>
        <v/>
      </c>
      <c r="B138" s="69"/>
      <c r="C138" s="65" t="str">
        <f aca="false">IF($B138="","",MONTH($B138))</f>
        <v/>
      </c>
      <c r="D138" s="70"/>
      <c r="E138" s="70"/>
      <c r="F138" s="70"/>
      <c r="G138" s="70"/>
      <c r="H138" s="70"/>
      <c r="I138" s="70"/>
      <c r="J138" s="71"/>
      <c r="K138" s="72"/>
      <c r="L138" s="4"/>
      <c r="M138" s="4"/>
      <c r="N138" s="4"/>
      <c r="O138" s="4"/>
      <c r="P138" s="4"/>
      <c r="Q138" s="4"/>
    </row>
    <row r="139" customFormat="false" ht="18" hidden="false" customHeight="true" outlineLevel="0" collapsed="false">
      <c r="A139" s="63" t="str">
        <f aca="false">IF($B139="","","PM-"&amp;TEXT(ROW()-5,"0000"))</f>
        <v/>
      </c>
      <c r="B139" s="64"/>
      <c r="C139" s="65" t="str">
        <f aca="false">IF($B139="","",MONTH($B139))</f>
        <v/>
      </c>
      <c r="D139" s="66"/>
      <c r="E139" s="66"/>
      <c r="F139" s="66"/>
      <c r="G139" s="66"/>
      <c r="H139" s="66"/>
      <c r="I139" s="66"/>
      <c r="J139" s="67"/>
      <c r="K139" s="68"/>
      <c r="L139" s="4"/>
      <c r="M139" s="4"/>
      <c r="N139" s="4"/>
      <c r="O139" s="4"/>
      <c r="P139" s="4"/>
      <c r="Q139" s="4"/>
    </row>
    <row r="140" customFormat="false" ht="18" hidden="false" customHeight="true" outlineLevel="0" collapsed="false">
      <c r="A140" s="63" t="str">
        <f aca="false">IF($B140="","","PM-"&amp;TEXT(ROW()-5,"0000"))</f>
        <v/>
      </c>
      <c r="B140" s="69"/>
      <c r="C140" s="65" t="str">
        <f aca="false">IF($B140="","",MONTH($B140))</f>
        <v/>
      </c>
      <c r="D140" s="70"/>
      <c r="E140" s="70"/>
      <c r="F140" s="70"/>
      <c r="G140" s="70"/>
      <c r="H140" s="70"/>
      <c r="I140" s="70"/>
      <c r="J140" s="71"/>
      <c r="K140" s="72"/>
      <c r="L140" s="4"/>
      <c r="M140" s="4"/>
      <c r="N140" s="4"/>
      <c r="O140" s="4"/>
      <c r="P140" s="4"/>
      <c r="Q140" s="4"/>
    </row>
    <row r="141" customFormat="false" ht="18" hidden="false" customHeight="true" outlineLevel="0" collapsed="false">
      <c r="A141" s="63" t="str">
        <f aca="false">IF($B141="","","PM-"&amp;TEXT(ROW()-5,"0000"))</f>
        <v/>
      </c>
      <c r="B141" s="64"/>
      <c r="C141" s="65" t="str">
        <f aca="false">IF($B141="","",MONTH($B141))</f>
        <v/>
      </c>
      <c r="D141" s="66"/>
      <c r="E141" s="66"/>
      <c r="F141" s="66"/>
      <c r="G141" s="66"/>
      <c r="H141" s="66"/>
      <c r="I141" s="66"/>
      <c r="J141" s="67"/>
      <c r="K141" s="68"/>
      <c r="L141" s="4"/>
      <c r="M141" s="4"/>
      <c r="N141" s="4"/>
      <c r="O141" s="4"/>
      <c r="P141" s="4"/>
      <c r="Q141" s="4"/>
    </row>
    <row r="142" customFormat="false" ht="18" hidden="false" customHeight="true" outlineLevel="0" collapsed="false">
      <c r="A142" s="63" t="str">
        <f aca="false">IF($B142="","","PM-"&amp;TEXT(ROW()-5,"0000"))</f>
        <v/>
      </c>
      <c r="B142" s="69"/>
      <c r="C142" s="65" t="str">
        <f aca="false">IF($B142="","",MONTH($B142))</f>
        <v/>
      </c>
      <c r="D142" s="70"/>
      <c r="E142" s="70"/>
      <c r="F142" s="70"/>
      <c r="G142" s="70"/>
      <c r="H142" s="70"/>
      <c r="I142" s="70"/>
      <c r="J142" s="71"/>
      <c r="K142" s="72"/>
      <c r="L142" s="4"/>
      <c r="M142" s="4"/>
      <c r="N142" s="4"/>
      <c r="O142" s="4"/>
      <c r="P142" s="4"/>
      <c r="Q142" s="4"/>
    </row>
    <row r="143" customFormat="false" ht="18" hidden="false" customHeight="true" outlineLevel="0" collapsed="false">
      <c r="A143" s="63" t="str">
        <f aca="false">IF($B143="","","PM-"&amp;TEXT(ROW()-5,"0000"))</f>
        <v/>
      </c>
      <c r="B143" s="64"/>
      <c r="C143" s="65" t="str">
        <f aca="false">IF($B143="","",MONTH($B143))</f>
        <v/>
      </c>
      <c r="D143" s="66"/>
      <c r="E143" s="66"/>
      <c r="F143" s="66"/>
      <c r="G143" s="66"/>
      <c r="H143" s="66"/>
      <c r="I143" s="66"/>
      <c r="J143" s="67"/>
      <c r="K143" s="68"/>
      <c r="L143" s="4"/>
      <c r="M143" s="4"/>
      <c r="N143" s="4"/>
      <c r="O143" s="4"/>
      <c r="P143" s="4"/>
      <c r="Q143" s="4"/>
    </row>
    <row r="144" customFormat="false" ht="18" hidden="false" customHeight="true" outlineLevel="0" collapsed="false">
      <c r="A144" s="63" t="str">
        <f aca="false">IF($B144="","","PM-"&amp;TEXT(ROW()-5,"0000"))</f>
        <v/>
      </c>
      <c r="B144" s="69"/>
      <c r="C144" s="65" t="str">
        <f aca="false">IF($B144="","",MONTH($B144))</f>
        <v/>
      </c>
      <c r="D144" s="70"/>
      <c r="E144" s="70"/>
      <c r="F144" s="70"/>
      <c r="G144" s="70"/>
      <c r="H144" s="70"/>
      <c r="I144" s="70"/>
      <c r="J144" s="71"/>
      <c r="K144" s="72"/>
      <c r="L144" s="4"/>
      <c r="M144" s="4"/>
      <c r="N144" s="4"/>
      <c r="O144" s="4"/>
      <c r="P144" s="4"/>
      <c r="Q144" s="4"/>
    </row>
    <row r="145" customFormat="false" ht="18" hidden="false" customHeight="true" outlineLevel="0" collapsed="false">
      <c r="A145" s="63" t="str">
        <f aca="false">IF($B145="","","PM-"&amp;TEXT(ROW()-5,"0000"))</f>
        <v/>
      </c>
      <c r="B145" s="64"/>
      <c r="C145" s="65" t="str">
        <f aca="false">IF($B145="","",MONTH($B145))</f>
        <v/>
      </c>
      <c r="D145" s="66"/>
      <c r="E145" s="66"/>
      <c r="F145" s="66"/>
      <c r="G145" s="66"/>
      <c r="H145" s="66"/>
      <c r="I145" s="66"/>
      <c r="J145" s="67"/>
      <c r="K145" s="68"/>
      <c r="L145" s="4"/>
      <c r="M145" s="4"/>
      <c r="N145" s="4"/>
      <c r="O145" s="4"/>
      <c r="P145" s="4"/>
      <c r="Q145" s="4"/>
    </row>
    <row r="146" customFormat="false" ht="18" hidden="false" customHeight="true" outlineLevel="0" collapsed="false">
      <c r="A146" s="63" t="str">
        <f aca="false">IF($B146="","","PM-"&amp;TEXT(ROW()-5,"0000"))</f>
        <v/>
      </c>
      <c r="B146" s="69"/>
      <c r="C146" s="65" t="str">
        <f aca="false">IF($B146="","",MONTH($B146))</f>
        <v/>
      </c>
      <c r="D146" s="70"/>
      <c r="E146" s="70"/>
      <c r="F146" s="70"/>
      <c r="G146" s="70"/>
      <c r="H146" s="70"/>
      <c r="I146" s="70"/>
      <c r="J146" s="71"/>
      <c r="K146" s="72"/>
      <c r="L146" s="4"/>
      <c r="M146" s="4"/>
      <c r="N146" s="4"/>
      <c r="O146" s="4"/>
      <c r="P146" s="4"/>
      <c r="Q146" s="4"/>
    </row>
    <row r="147" customFormat="false" ht="18" hidden="false" customHeight="true" outlineLevel="0" collapsed="false">
      <c r="A147" s="63" t="str">
        <f aca="false">IF($B147="","","PM-"&amp;TEXT(ROW()-5,"0000"))</f>
        <v/>
      </c>
      <c r="B147" s="64"/>
      <c r="C147" s="65" t="str">
        <f aca="false">IF($B147="","",MONTH($B147))</f>
        <v/>
      </c>
      <c r="D147" s="66"/>
      <c r="E147" s="66"/>
      <c r="F147" s="66"/>
      <c r="G147" s="66"/>
      <c r="H147" s="66"/>
      <c r="I147" s="66"/>
      <c r="J147" s="67"/>
      <c r="K147" s="68"/>
      <c r="L147" s="4"/>
      <c r="M147" s="4"/>
      <c r="N147" s="4"/>
      <c r="O147" s="4"/>
      <c r="P147" s="4"/>
      <c r="Q147" s="4"/>
    </row>
    <row r="148" customFormat="false" ht="18" hidden="false" customHeight="true" outlineLevel="0" collapsed="false">
      <c r="A148" s="63" t="str">
        <f aca="false">IF($B148="","","PM-"&amp;TEXT(ROW()-5,"0000"))</f>
        <v/>
      </c>
      <c r="B148" s="69"/>
      <c r="C148" s="65" t="str">
        <f aca="false">IF($B148="","",MONTH($B148))</f>
        <v/>
      </c>
      <c r="D148" s="70"/>
      <c r="E148" s="70"/>
      <c r="F148" s="70"/>
      <c r="G148" s="70"/>
      <c r="H148" s="70"/>
      <c r="I148" s="70"/>
      <c r="J148" s="71"/>
      <c r="K148" s="72"/>
      <c r="L148" s="4"/>
      <c r="M148" s="4"/>
      <c r="N148" s="4"/>
      <c r="O148" s="4"/>
      <c r="P148" s="4"/>
      <c r="Q148" s="4"/>
    </row>
    <row r="149" customFormat="false" ht="18" hidden="false" customHeight="true" outlineLevel="0" collapsed="false">
      <c r="A149" s="63" t="str">
        <f aca="false">IF($B149="","","PM-"&amp;TEXT(ROW()-5,"0000"))</f>
        <v/>
      </c>
      <c r="B149" s="64"/>
      <c r="C149" s="65" t="str">
        <f aca="false">IF($B149="","",MONTH($B149))</f>
        <v/>
      </c>
      <c r="D149" s="66"/>
      <c r="E149" s="66"/>
      <c r="F149" s="66"/>
      <c r="G149" s="66"/>
      <c r="H149" s="66"/>
      <c r="I149" s="66"/>
      <c r="J149" s="67"/>
      <c r="K149" s="68"/>
      <c r="L149" s="4"/>
      <c r="M149" s="4"/>
      <c r="N149" s="4"/>
      <c r="O149" s="4"/>
      <c r="P149" s="4"/>
      <c r="Q149" s="4"/>
    </row>
    <row r="150" customFormat="false" ht="18" hidden="false" customHeight="true" outlineLevel="0" collapsed="false">
      <c r="A150" s="63" t="str">
        <f aca="false">IF($B150="","","PM-"&amp;TEXT(ROW()-5,"0000"))</f>
        <v/>
      </c>
      <c r="B150" s="69"/>
      <c r="C150" s="65" t="str">
        <f aca="false">IF($B150="","",MONTH($B150))</f>
        <v/>
      </c>
      <c r="D150" s="70"/>
      <c r="E150" s="70"/>
      <c r="F150" s="70"/>
      <c r="G150" s="70"/>
      <c r="H150" s="70"/>
      <c r="I150" s="70"/>
      <c r="J150" s="71"/>
      <c r="K150" s="72"/>
      <c r="L150" s="4"/>
      <c r="M150" s="4"/>
      <c r="N150" s="4"/>
      <c r="O150" s="4"/>
      <c r="P150" s="4"/>
      <c r="Q150" s="4"/>
    </row>
    <row r="151" customFormat="false" ht="18" hidden="false" customHeight="true" outlineLevel="0" collapsed="false">
      <c r="A151" s="63" t="str">
        <f aca="false">IF($B151="","","PM-"&amp;TEXT(ROW()-5,"0000"))</f>
        <v/>
      </c>
      <c r="B151" s="64"/>
      <c r="C151" s="65" t="str">
        <f aca="false">IF($B151="","",MONTH($B151))</f>
        <v/>
      </c>
      <c r="D151" s="66"/>
      <c r="E151" s="66"/>
      <c r="F151" s="66"/>
      <c r="G151" s="66"/>
      <c r="H151" s="66"/>
      <c r="I151" s="66"/>
      <c r="J151" s="67"/>
      <c r="K151" s="68"/>
      <c r="L151" s="4"/>
      <c r="M151" s="4"/>
      <c r="N151" s="4"/>
      <c r="O151" s="4"/>
      <c r="P151" s="4"/>
      <c r="Q151" s="4"/>
    </row>
    <row r="152" customFormat="false" ht="18" hidden="false" customHeight="true" outlineLevel="0" collapsed="false">
      <c r="A152" s="63" t="str">
        <f aca="false">IF($B152="","","PM-"&amp;TEXT(ROW()-5,"0000"))</f>
        <v/>
      </c>
      <c r="B152" s="69"/>
      <c r="C152" s="65" t="str">
        <f aca="false">IF($B152="","",MONTH($B152))</f>
        <v/>
      </c>
      <c r="D152" s="70"/>
      <c r="E152" s="70"/>
      <c r="F152" s="70"/>
      <c r="G152" s="70"/>
      <c r="H152" s="70"/>
      <c r="I152" s="70"/>
      <c r="J152" s="71"/>
      <c r="K152" s="72"/>
      <c r="L152" s="4"/>
      <c r="M152" s="4"/>
      <c r="N152" s="4"/>
      <c r="O152" s="4"/>
      <c r="P152" s="4"/>
      <c r="Q152" s="4"/>
    </row>
    <row r="153" customFormat="false" ht="18" hidden="false" customHeight="true" outlineLevel="0" collapsed="false">
      <c r="A153" s="63" t="str">
        <f aca="false">IF($B153="","","PM-"&amp;TEXT(ROW()-5,"0000"))</f>
        <v/>
      </c>
      <c r="B153" s="64"/>
      <c r="C153" s="65" t="str">
        <f aca="false">IF($B153="","",MONTH($B153))</f>
        <v/>
      </c>
      <c r="D153" s="66"/>
      <c r="E153" s="66"/>
      <c r="F153" s="66"/>
      <c r="G153" s="66"/>
      <c r="H153" s="66"/>
      <c r="I153" s="66"/>
      <c r="J153" s="67"/>
      <c r="K153" s="68"/>
      <c r="L153" s="4"/>
      <c r="M153" s="4"/>
      <c r="N153" s="4"/>
      <c r="O153" s="4"/>
      <c r="P153" s="4"/>
      <c r="Q153" s="4"/>
    </row>
    <row r="154" customFormat="false" ht="18" hidden="false" customHeight="true" outlineLevel="0" collapsed="false">
      <c r="A154" s="63" t="str">
        <f aca="false">IF($B154="","","PM-"&amp;TEXT(ROW()-5,"0000"))</f>
        <v/>
      </c>
      <c r="B154" s="69"/>
      <c r="C154" s="65" t="str">
        <f aca="false">IF($B154="","",MONTH($B154))</f>
        <v/>
      </c>
      <c r="D154" s="70"/>
      <c r="E154" s="70"/>
      <c r="F154" s="70"/>
      <c r="G154" s="70"/>
      <c r="H154" s="70"/>
      <c r="I154" s="70"/>
      <c r="J154" s="71"/>
      <c r="K154" s="72"/>
      <c r="L154" s="4"/>
      <c r="M154" s="4"/>
      <c r="N154" s="4"/>
      <c r="O154" s="4"/>
      <c r="P154" s="4"/>
      <c r="Q154" s="4"/>
    </row>
    <row r="155" customFormat="false" ht="18" hidden="false" customHeight="true" outlineLevel="0" collapsed="false">
      <c r="A155" s="63" t="str">
        <f aca="false">IF($B155="","","PM-"&amp;TEXT(ROW()-5,"0000"))</f>
        <v/>
      </c>
      <c r="B155" s="64"/>
      <c r="C155" s="65" t="str">
        <f aca="false">IF($B155="","",MONTH($B155))</f>
        <v/>
      </c>
      <c r="D155" s="66"/>
      <c r="E155" s="66"/>
      <c r="F155" s="66"/>
      <c r="G155" s="66"/>
      <c r="H155" s="66"/>
      <c r="I155" s="66"/>
      <c r="J155" s="67"/>
      <c r="K155" s="68"/>
      <c r="L155" s="4"/>
      <c r="M155" s="4"/>
      <c r="N155" s="4"/>
      <c r="O155" s="4"/>
      <c r="P155" s="4"/>
      <c r="Q155" s="4"/>
    </row>
    <row r="156" customFormat="false" ht="18" hidden="false" customHeight="true" outlineLevel="0" collapsed="false">
      <c r="A156" s="63" t="str">
        <f aca="false">IF($B156="","","PM-"&amp;TEXT(ROW()-5,"0000"))</f>
        <v/>
      </c>
      <c r="B156" s="69"/>
      <c r="C156" s="65" t="str">
        <f aca="false">IF($B156="","",MONTH($B156))</f>
        <v/>
      </c>
      <c r="D156" s="70"/>
      <c r="E156" s="70"/>
      <c r="F156" s="70"/>
      <c r="G156" s="70"/>
      <c r="H156" s="70"/>
      <c r="I156" s="70"/>
      <c r="J156" s="71"/>
      <c r="K156" s="72"/>
      <c r="L156" s="4"/>
      <c r="M156" s="4"/>
      <c r="N156" s="4"/>
      <c r="O156" s="4"/>
      <c r="P156" s="4"/>
      <c r="Q156" s="4"/>
    </row>
    <row r="157" customFormat="false" ht="18" hidden="false" customHeight="true" outlineLevel="0" collapsed="false">
      <c r="A157" s="63" t="str">
        <f aca="false">IF($B157="","","PM-"&amp;TEXT(ROW()-5,"0000"))</f>
        <v/>
      </c>
      <c r="B157" s="64"/>
      <c r="C157" s="65" t="str">
        <f aca="false">IF($B157="","",MONTH($B157))</f>
        <v/>
      </c>
      <c r="D157" s="66"/>
      <c r="E157" s="66"/>
      <c r="F157" s="66"/>
      <c r="G157" s="66"/>
      <c r="H157" s="66"/>
      <c r="I157" s="66"/>
      <c r="J157" s="67"/>
      <c r="K157" s="68"/>
      <c r="L157" s="4"/>
      <c r="M157" s="4"/>
      <c r="N157" s="4"/>
      <c r="O157" s="4"/>
      <c r="P157" s="4"/>
      <c r="Q157" s="4"/>
    </row>
    <row r="158" customFormat="false" ht="18" hidden="false" customHeight="true" outlineLevel="0" collapsed="false">
      <c r="A158" s="63" t="str">
        <f aca="false">IF($B158="","","PM-"&amp;TEXT(ROW()-5,"0000"))</f>
        <v/>
      </c>
      <c r="B158" s="69"/>
      <c r="C158" s="65" t="str">
        <f aca="false">IF($B158="","",MONTH($B158))</f>
        <v/>
      </c>
      <c r="D158" s="70"/>
      <c r="E158" s="70"/>
      <c r="F158" s="70"/>
      <c r="G158" s="70"/>
      <c r="H158" s="70"/>
      <c r="I158" s="70"/>
      <c r="J158" s="71"/>
      <c r="K158" s="72"/>
      <c r="L158" s="4"/>
      <c r="M158" s="4"/>
      <c r="N158" s="4"/>
      <c r="O158" s="4"/>
      <c r="P158" s="4"/>
      <c r="Q158" s="4"/>
    </row>
    <row r="159" customFormat="false" ht="18" hidden="false" customHeight="true" outlineLevel="0" collapsed="false">
      <c r="A159" s="63" t="str">
        <f aca="false">IF($B159="","","PM-"&amp;TEXT(ROW()-5,"0000"))</f>
        <v/>
      </c>
      <c r="B159" s="64"/>
      <c r="C159" s="65" t="str">
        <f aca="false">IF($B159="","",MONTH($B159))</f>
        <v/>
      </c>
      <c r="D159" s="66"/>
      <c r="E159" s="66"/>
      <c r="F159" s="66"/>
      <c r="G159" s="66"/>
      <c r="H159" s="66"/>
      <c r="I159" s="66"/>
      <c r="J159" s="67"/>
      <c r="K159" s="68"/>
      <c r="L159" s="4"/>
      <c r="M159" s="4"/>
      <c r="N159" s="4"/>
      <c r="O159" s="4"/>
      <c r="P159" s="4"/>
      <c r="Q159" s="4"/>
    </row>
    <row r="160" customFormat="false" ht="18" hidden="false" customHeight="true" outlineLevel="0" collapsed="false">
      <c r="A160" s="63" t="str">
        <f aca="false">IF($B160="","","PM-"&amp;TEXT(ROW()-5,"0000"))</f>
        <v/>
      </c>
      <c r="B160" s="69"/>
      <c r="C160" s="65" t="str">
        <f aca="false">IF($B160="","",MONTH($B160))</f>
        <v/>
      </c>
      <c r="D160" s="70"/>
      <c r="E160" s="70"/>
      <c r="F160" s="70"/>
      <c r="G160" s="70"/>
      <c r="H160" s="70"/>
      <c r="I160" s="70"/>
      <c r="J160" s="71"/>
      <c r="K160" s="72"/>
      <c r="L160" s="4"/>
      <c r="M160" s="4"/>
      <c r="N160" s="4"/>
      <c r="O160" s="4"/>
      <c r="P160" s="4"/>
      <c r="Q160" s="4"/>
    </row>
    <row r="161" customFormat="false" ht="18" hidden="false" customHeight="true" outlineLevel="0" collapsed="false">
      <c r="A161" s="63" t="str">
        <f aca="false">IF($B161="","","PM-"&amp;TEXT(ROW()-5,"0000"))</f>
        <v/>
      </c>
      <c r="B161" s="64"/>
      <c r="C161" s="65" t="str">
        <f aca="false">IF($B161="","",MONTH($B161))</f>
        <v/>
      </c>
      <c r="D161" s="66"/>
      <c r="E161" s="66"/>
      <c r="F161" s="66"/>
      <c r="G161" s="66"/>
      <c r="H161" s="66"/>
      <c r="I161" s="66"/>
      <c r="J161" s="67"/>
      <c r="K161" s="68"/>
      <c r="L161" s="4"/>
      <c r="M161" s="4"/>
      <c r="N161" s="4"/>
      <c r="O161" s="4"/>
      <c r="P161" s="4"/>
      <c r="Q161" s="4"/>
    </row>
    <row r="162" customFormat="false" ht="18" hidden="false" customHeight="true" outlineLevel="0" collapsed="false">
      <c r="A162" s="63" t="str">
        <f aca="false">IF($B162="","","PM-"&amp;TEXT(ROW()-5,"0000"))</f>
        <v/>
      </c>
      <c r="B162" s="69"/>
      <c r="C162" s="65" t="str">
        <f aca="false">IF($B162="","",MONTH($B162))</f>
        <v/>
      </c>
      <c r="D162" s="70"/>
      <c r="E162" s="70"/>
      <c r="F162" s="70"/>
      <c r="G162" s="70"/>
      <c r="H162" s="70"/>
      <c r="I162" s="70"/>
      <c r="J162" s="71"/>
      <c r="K162" s="72"/>
      <c r="L162" s="4"/>
      <c r="M162" s="4"/>
      <c r="N162" s="4"/>
      <c r="O162" s="4"/>
      <c r="P162" s="4"/>
      <c r="Q162" s="4"/>
    </row>
    <row r="163" customFormat="false" ht="18" hidden="false" customHeight="true" outlineLevel="0" collapsed="false">
      <c r="A163" s="63" t="str">
        <f aca="false">IF($B163="","","PM-"&amp;TEXT(ROW()-5,"0000"))</f>
        <v/>
      </c>
      <c r="B163" s="64"/>
      <c r="C163" s="65" t="str">
        <f aca="false">IF($B163="","",MONTH($B163))</f>
        <v/>
      </c>
      <c r="D163" s="66"/>
      <c r="E163" s="66"/>
      <c r="F163" s="66"/>
      <c r="G163" s="66"/>
      <c r="H163" s="66"/>
      <c r="I163" s="66"/>
      <c r="J163" s="67"/>
      <c r="K163" s="68"/>
      <c r="L163" s="4"/>
      <c r="M163" s="4"/>
      <c r="N163" s="4"/>
      <c r="O163" s="4"/>
      <c r="P163" s="4"/>
      <c r="Q163" s="4"/>
    </row>
    <row r="164" customFormat="false" ht="18" hidden="false" customHeight="true" outlineLevel="0" collapsed="false">
      <c r="A164" s="63" t="str">
        <f aca="false">IF($B164="","","PM-"&amp;TEXT(ROW()-5,"0000"))</f>
        <v/>
      </c>
      <c r="B164" s="69"/>
      <c r="C164" s="65" t="str">
        <f aca="false">IF($B164="","",MONTH($B164))</f>
        <v/>
      </c>
      <c r="D164" s="70"/>
      <c r="E164" s="70"/>
      <c r="F164" s="70"/>
      <c r="G164" s="70"/>
      <c r="H164" s="70"/>
      <c r="I164" s="70"/>
      <c r="J164" s="71"/>
      <c r="K164" s="72"/>
      <c r="L164" s="4"/>
      <c r="M164" s="4"/>
      <c r="N164" s="4"/>
      <c r="O164" s="4"/>
      <c r="P164" s="4"/>
      <c r="Q164" s="4"/>
    </row>
    <row r="165" customFormat="false" ht="18" hidden="false" customHeight="true" outlineLevel="0" collapsed="false">
      <c r="A165" s="63" t="str">
        <f aca="false">IF($B165="","","PM-"&amp;TEXT(ROW()-5,"0000"))</f>
        <v/>
      </c>
      <c r="B165" s="64"/>
      <c r="C165" s="65" t="str">
        <f aca="false">IF($B165="","",MONTH($B165))</f>
        <v/>
      </c>
      <c r="D165" s="66"/>
      <c r="E165" s="66"/>
      <c r="F165" s="66"/>
      <c r="G165" s="66"/>
      <c r="H165" s="66"/>
      <c r="I165" s="66"/>
      <c r="J165" s="67"/>
      <c r="K165" s="68"/>
      <c r="L165" s="4"/>
      <c r="M165" s="4"/>
      <c r="N165" s="4"/>
      <c r="O165" s="4"/>
      <c r="P165" s="4"/>
      <c r="Q165" s="4"/>
    </row>
    <row r="166" customFormat="false" ht="18" hidden="false" customHeight="true" outlineLevel="0" collapsed="false">
      <c r="A166" s="63" t="str">
        <f aca="false">IF($B166="","","PM-"&amp;TEXT(ROW()-5,"0000"))</f>
        <v/>
      </c>
      <c r="B166" s="69"/>
      <c r="C166" s="65" t="str">
        <f aca="false">IF($B166="","",MONTH($B166))</f>
        <v/>
      </c>
      <c r="D166" s="70"/>
      <c r="E166" s="70"/>
      <c r="F166" s="70"/>
      <c r="G166" s="70"/>
      <c r="H166" s="70"/>
      <c r="I166" s="70"/>
      <c r="J166" s="71"/>
      <c r="K166" s="72"/>
      <c r="L166" s="4"/>
      <c r="M166" s="4"/>
      <c r="N166" s="4"/>
      <c r="O166" s="4"/>
      <c r="P166" s="4"/>
      <c r="Q166" s="4"/>
    </row>
    <row r="167" customFormat="false" ht="18" hidden="false" customHeight="true" outlineLevel="0" collapsed="false">
      <c r="A167" s="63" t="str">
        <f aca="false">IF($B167="","","PM-"&amp;TEXT(ROW()-5,"0000"))</f>
        <v/>
      </c>
      <c r="B167" s="64"/>
      <c r="C167" s="65" t="str">
        <f aca="false">IF($B167="","",MONTH($B167))</f>
        <v/>
      </c>
      <c r="D167" s="66"/>
      <c r="E167" s="66"/>
      <c r="F167" s="66"/>
      <c r="G167" s="66"/>
      <c r="H167" s="66"/>
      <c r="I167" s="66"/>
      <c r="J167" s="67"/>
      <c r="K167" s="68"/>
      <c r="L167" s="4"/>
      <c r="M167" s="4"/>
      <c r="N167" s="4"/>
      <c r="O167" s="4"/>
      <c r="P167" s="4"/>
      <c r="Q167" s="4"/>
    </row>
    <row r="168" customFormat="false" ht="18" hidden="false" customHeight="true" outlineLevel="0" collapsed="false">
      <c r="A168" s="63" t="str">
        <f aca="false">IF($B168="","","PM-"&amp;TEXT(ROW()-5,"0000"))</f>
        <v/>
      </c>
      <c r="B168" s="69"/>
      <c r="C168" s="65" t="str">
        <f aca="false">IF($B168="","",MONTH($B168))</f>
        <v/>
      </c>
      <c r="D168" s="70"/>
      <c r="E168" s="70"/>
      <c r="F168" s="70"/>
      <c r="G168" s="70"/>
      <c r="H168" s="70"/>
      <c r="I168" s="70"/>
      <c r="J168" s="71"/>
      <c r="K168" s="72"/>
      <c r="L168" s="4"/>
      <c r="M168" s="4"/>
      <c r="N168" s="4"/>
      <c r="O168" s="4"/>
      <c r="P168" s="4"/>
      <c r="Q168" s="4"/>
    </row>
    <row r="169" customFormat="false" ht="18" hidden="false" customHeight="true" outlineLevel="0" collapsed="false">
      <c r="A169" s="63" t="str">
        <f aca="false">IF($B169="","","PM-"&amp;TEXT(ROW()-5,"0000"))</f>
        <v/>
      </c>
      <c r="B169" s="64"/>
      <c r="C169" s="65" t="str">
        <f aca="false">IF($B169="","",MONTH($B169))</f>
        <v/>
      </c>
      <c r="D169" s="66"/>
      <c r="E169" s="66"/>
      <c r="F169" s="66"/>
      <c r="G169" s="66"/>
      <c r="H169" s="66"/>
      <c r="I169" s="66"/>
      <c r="J169" s="67"/>
      <c r="K169" s="68"/>
      <c r="L169" s="4"/>
      <c r="M169" s="4"/>
      <c r="N169" s="4"/>
      <c r="O169" s="4"/>
      <c r="P169" s="4"/>
      <c r="Q169" s="4"/>
    </row>
    <row r="170" customFormat="false" ht="18" hidden="false" customHeight="true" outlineLevel="0" collapsed="false">
      <c r="A170" s="63" t="str">
        <f aca="false">IF($B170="","","PM-"&amp;TEXT(ROW()-5,"0000"))</f>
        <v/>
      </c>
      <c r="B170" s="69"/>
      <c r="C170" s="65" t="str">
        <f aca="false">IF($B170="","",MONTH($B170))</f>
        <v/>
      </c>
      <c r="D170" s="70"/>
      <c r="E170" s="70"/>
      <c r="F170" s="70"/>
      <c r="G170" s="70"/>
      <c r="H170" s="70"/>
      <c r="I170" s="70"/>
      <c r="J170" s="71"/>
      <c r="K170" s="72"/>
      <c r="L170" s="4"/>
      <c r="M170" s="4"/>
      <c r="N170" s="4"/>
      <c r="O170" s="4"/>
      <c r="P170" s="4"/>
      <c r="Q170" s="4"/>
    </row>
    <row r="171" customFormat="false" ht="18" hidden="false" customHeight="true" outlineLevel="0" collapsed="false">
      <c r="A171" s="63" t="str">
        <f aca="false">IF($B171="","","PM-"&amp;TEXT(ROW()-5,"0000"))</f>
        <v/>
      </c>
      <c r="B171" s="64"/>
      <c r="C171" s="65" t="str">
        <f aca="false">IF($B171="","",MONTH($B171))</f>
        <v/>
      </c>
      <c r="D171" s="66"/>
      <c r="E171" s="66"/>
      <c r="F171" s="66"/>
      <c r="G171" s="66"/>
      <c r="H171" s="66"/>
      <c r="I171" s="66"/>
      <c r="J171" s="67"/>
      <c r="K171" s="68"/>
      <c r="L171" s="4"/>
      <c r="M171" s="4"/>
      <c r="N171" s="4"/>
      <c r="O171" s="4"/>
      <c r="P171" s="4"/>
      <c r="Q171" s="4"/>
    </row>
    <row r="172" customFormat="false" ht="18" hidden="false" customHeight="true" outlineLevel="0" collapsed="false">
      <c r="A172" s="63" t="str">
        <f aca="false">IF($B172="","","PM-"&amp;TEXT(ROW()-5,"0000"))</f>
        <v/>
      </c>
      <c r="B172" s="69"/>
      <c r="C172" s="65" t="str">
        <f aca="false">IF($B172="","",MONTH($B172))</f>
        <v/>
      </c>
      <c r="D172" s="70"/>
      <c r="E172" s="70"/>
      <c r="F172" s="70"/>
      <c r="G172" s="70"/>
      <c r="H172" s="70"/>
      <c r="I172" s="70"/>
      <c r="J172" s="71"/>
      <c r="K172" s="72"/>
      <c r="L172" s="4"/>
      <c r="M172" s="4"/>
      <c r="N172" s="4"/>
      <c r="O172" s="4"/>
      <c r="P172" s="4"/>
      <c r="Q172" s="4"/>
    </row>
    <row r="173" customFormat="false" ht="18" hidden="false" customHeight="true" outlineLevel="0" collapsed="false">
      <c r="A173" s="63" t="str">
        <f aca="false">IF($B173="","","PM-"&amp;TEXT(ROW()-5,"0000"))</f>
        <v/>
      </c>
      <c r="B173" s="64"/>
      <c r="C173" s="65" t="str">
        <f aca="false">IF($B173="","",MONTH($B173))</f>
        <v/>
      </c>
      <c r="D173" s="66"/>
      <c r="E173" s="66"/>
      <c r="F173" s="66"/>
      <c r="G173" s="66"/>
      <c r="H173" s="66"/>
      <c r="I173" s="66"/>
      <c r="J173" s="67"/>
      <c r="K173" s="68"/>
      <c r="L173" s="4"/>
      <c r="M173" s="4"/>
      <c r="N173" s="4"/>
      <c r="O173" s="4"/>
      <c r="P173" s="4"/>
      <c r="Q173" s="4"/>
    </row>
    <row r="174" customFormat="false" ht="18" hidden="false" customHeight="true" outlineLevel="0" collapsed="false">
      <c r="A174" s="63" t="str">
        <f aca="false">IF($B174="","","PM-"&amp;TEXT(ROW()-5,"0000"))</f>
        <v/>
      </c>
      <c r="B174" s="69"/>
      <c r="C174" s="65" t="str">
        <f aca="false">IF($B174="","",MONTH($B174))</f>
        <v/>
      </c>
      <c r="D174" s="70"/>
      <c r="E174" s="70"/>
      <c r="F174" s="70"/>
      <c r="G174" s="70"/>
      <c r="H174" s="70"/>
      <c r="I174" s="70"/>
      <c r="J174" s="71"/>
      <c r="K174" s="72"/>
      <c r="L174" s="4"/>
      <c r="M174" s="4"/>
      <c r="N174" s="4"/>
      <c r="O174" s="4"/>
      <c r="P174" s="4"/>
      <c r="Q174" s="4"/>
    </row>
    <row r="175" customFormat="false" ht="18" hidden="false" customHeight="true" outlineLevel="0" collapsed="false">
      <c r="A175" s="63" t="str">
        <f aca="false">IF($B175="","","PM-"&amp;TEXT(ROW()-5,"0000"))</f>
        <v/>
      </c>
      <c r="B175" s="64"/>
      <c r="C175" s="65" t="str">
        <f aca="false">IF($B175="","",MONTH($B175))</f>
        <v/>
      </c>
      <c r="D175" s="66"/>
      <c r="E175" s="66"/>
      <c r="F175" s="66"/>
      <c r="G175" s="66"/>
      <c r="H175" s="66"/>
      <c r="I175" s="66"/>
      <c r="J175" s="67"/>
      <c r="K175" s="68"/>
      <c r="L175" s="4"/>
      <c r="M175" s="4"/>
      <c r="N175" s="4"/>
      <c r="O175" s="4"/>
      <c r="P175" s="4"/>
      <c r="Q175" s="4"/>
    </row>
    <row r="176" customFormat="false" ht="18" hidden="false" customHeight="true" outlineLevel="0" collapsed="false">
      <c r="A176" s="63" t="str">
        <f aca="false">IF($B176="","","PM-"&amp;TEXT(ROW()-5,"0000"))</f>
        <v/>
      </c>
      <c r="B176" s="69"/>
      <c r="C176" s="65" t="str">
        <f aca="false">IF($B176="","",MONTH($B176))</f>
        <v/>
      </c>
      <c r="D176" s="70"/>
      <c r="E176" s="70"/>
      <c r="F176" s="70"/>
      <c r="G176" s="70"/>
      <c r="H176" s="70"/>
      <c r="I176" s="70"/>
      <c r="J176" s="71"/>
      <c r="K176" s="72"/>
      <c r="L176" s="4"/>
      <c r="M176" s="4"/>
      <c r="N176" s="4"/>
      <c r="O176" s="4"/>
      <c r="P176" s="4"/>
      <c r="Q176" s="4"/>
    </row>
    <row r="177" customFormat="false" ht="18" hidden="false" customHeight="true" outlineLevel="0" collapsed="false">
      <c r="A177" s="63" t="str">
        <f aca="false">IF($B177="","","PM-"&amp;TEXT(ROW()-5,"0000"))</f>
        <v/>
      </c>
      <c r="B177" s="64"/>
      <c r="C177" s="65" t="str">
        <f aca="false">IF($B177="","",MONTH($B177))</f>
        <v/>
      </c>
      <c r="D177" s="66"/>
      <c r="E177" s="66"/>
      <c r="F177" s="66"/>
      <c r="G177" s="66"/>
      <c r="H177" s="66"/>
      <c r="I177" s="66"/>
      <c r="J177" s="67"/>
      <c r="K177" s="68"/>
      <c r="L177" s="4"/>
      <c r="M177" s="4"/>
      <c r="N177" s="4"/>
      <c r="O177" s="4"/>
      <c r="P177" s="4"/>
      <c r="Q177" s="4"/>
    </row>
    <row r="178" customFormat="false" ht="18" hidden="false" customHeight="true" outlineLevel="0" collapsed="false">
      <c r="A178" s="63" t="str">
        <f aca="false">IF($B178="","","PM-"&amp;TEXT(ROW()-5,"0000"))</f>
        <v/>
      </c>
      <c r="B178" s="69"/>
      <c r="C178" s="65" t="str">
        <f aca="false">IF($B178="","",MONTH($B178))</f>
        <v/>
      </c>
      <c r="D178" s="70"/>
      <c r="E178" s="70"/>
      <c r="F178" s="70"/>
      <c r="G178" s="70"/>
      <c r="H178" s="70"/>
      <c r="I178" s="70"/>
      <c r="J178" s="71"/>
      <c r="K178" s="72"/>
      <c r="L178" s="4"/>
      <c r="M178" s="4"/>
      <c r="N178" s="4"/>
      <c r="O178" s="4"/>
      <c r="P178" s="4"/>
      <c r="Q178" s="4"/>
    </row>
    <row r="179" customFormat="false" ht="18" hidden="false" customHeight="true" outlineLevel="0" collapsed="false">
      <c r="A179" s="63" t="str">
        <f aca="false">IF($B179="","","PM-"&amp;TEXT(ROW()-5,"0000"))</f>
        <v/>
      </c>
      <c r="B179" s="64"/>
      <c r="C179" s="65" t="str">
        <f aca="false">IF($B179="","",MONTH($B179))</f>
        <v/>
      </c>
      <c r="D179" s="66"/>
      <c r="E179" s="66"/>
      <c r="F179" s="66"/>
      <c r="G179" s="66"/>
      <c r="H179" s="66"/>
      <c r="I179" s="66"/>
      <c r="J179" s="67"/>
      <c r="K179" s="68"/>
      <c r="L179" s="4"/>
      <c r="M179" s="4"/>
      <c r="N179" s="4"/>
      <c r="O179" s="4"/>
      <c r="P179" s="4"/>
      <c r="Q179" s="4"/>
    </row>
    <row r="180" customFormat="false" ht="18" hidden="false" customHeight="true" outlineLevel="0" collapsed="false">
      <c r="A180" s="63" t="str">
        <f aca="false">IF($B180="","","PM-"&amp;TEXT(ROW()-5,"0000"))</f>
        <v/>
      </c>
      <c r="B180" s="69"/>
      <c r="C180" s="65" t="str">
        <f aca="false">IF($B180="","",MONTH($B180))</f>
        <v/>
      </c>
      <c r="D180" s="70"/>
      <c r="E180" s="70"/>
      <c r="F180" s="70"/>
      <c r="G180" s="70"/>
      <c r="H180" s="70"/>
      <c r="I180" s="70"/>
      <c r="J180" s="71"/>
      <c r="K180" s="72"/>
      <c r="L180" s="4"/>
      <c r="M180" s="4"/>
      <c r="N180" s="4"/>
      <c r="O180" s="4"/>
      <c r="P180" s="4"/>
      <c r="Q180" s="4"/>
    </row>
    <row r="181" customFormat="false" ht="18" hidden="false" customHeight="true" outlineLevel="0" collapsed="false">
      <c r="A181" s="63" t="str">
        <f aca="false">IF($B181="","","PM-"&amp;TEXT(ROW()-5,"0000"))</f>
        <v/>
      </c>
      <c r="B181" s="64"/>
      <c r="C181" s="65" t="str">
        <f aca="false">IF($B181="","",MONTH($B181))</f>
        <v/>
      </c>
      <c r="D181" s="66"/>
      <c r="E181" s="66"/>
      <c r="F181" s="66"/>
      <c r="G181" s="66"/>
      <c r="H181" s="66"/>
      <c r="I181" s="66"/>
      <c r="J181" s="67"/>
      <c r="K181" s="68"/>
      <c r="L181" s="4"/>
      <c r="M181" s="4"/>
      <c r="N181" s="4"/>
      <c r="O181" s="4"/>
      <c r="P181" s="4"/>
      <c r="Q181" s="4"/>
    </row>
    <row r="182" customFormat="false" ht="18" hidden="false" customHeight="true" outlineLevel="0" collapsed="false">
      <c r="A182" s="63" t="str">
        <f aca="false">IF($B182="","","PM-"&amp;TEXT(ROW()-5,"0000"))</f>
        <v/>
      </c>
      <c r="B182" s="69"/>
      <c r="C182" s="65" t="str">
        <f aca="false">IF($B182="","",MONTH($B182))</f>
        <v/>
      </c>
      <c r="D182" s="70"/>
      <c r="E182" s="70"/>
      <c r="F182" s="70"/>
      <c r="G182" s="70"/>
      <c r="H182" s="70"/>
      <c r="I182" s="70"/>
      <c r="J182" s="71"/>
      <c r="K182" s="72"/>
      <c r="L182" s="4"/>
      <c r="M182" s="4"/>
      <c r="N182" s="4"/>
      <c r="O182" s="4"/>
      <c r="P182" s="4"/>
      <c r="Q182" s="4"/>
    </row>
    <row r="183" customFormat="false" ht="18" hidden="false" customHeight="true" outlineLevel="0" collapsed="false">
      <c r="A183" s="63" t="str">
        <f aca="false">IF($B183="","","PM-"&amp;TEXT(ROW()-5,"0000"))</f>
        <v/>
      </c>
      <c r="B183" s="64"/>
      <c r="C183" s="65" t="str">
        <f aca="false">IF($B183="","",MONTH($B183))</f>
        <v/>
      </c>
      <c r="D183" s="66"/>
      <c r="E183" s="66"/>
      <c r="F183" s="66"/>
      <c r="G183" s="66"/>
      <c r="H183" s="66"/>
      <c r="I183" s="66"/>
      <c r="J183" s="67"/>
      <c r="K183" s="68"/>
      <c r="L183" s="4"/>
      <c r="M183" s="4"/>
      <c r="N183" s="4"/>
      <c r="O183" s="4"/>
      <c r="P183" s="4"/>
      <c r="Q183" s="4"/>
    </row>
    <row r="184" customFormat="false" ht="18" hidden="false" customHeight="true" outlineLevel="0" collapsed="false">
      <c r="A184" s="63" t="str">
        <f aca="false">IF($B184="","","PM-"&amp;TEXT(ROW()-5,"0000"))</f>
        <v/>
      </c>
      <c r="B184" s="69"/>
      <c r="C184" s="65" t="str">
        <f aca="false">IF($B184="","",MONTH($B184))</f>
        <v/>
      </c>
      <c r="D184" s="70"/>
      <c r="E184" s="70"/>
      <c r="F184" s="70"/>
      <c r="G184" s="70"/>
      <c r="H184" s="70"/>
      <c r="I184" s="70"/>
      <c r="J184" s="71"/>
      <c r="K184" s="72"/>
      <c r="L184" s="4"/>
      <c r="M184" s="4"/>
      <c r="N184" s="4"/>
      <c r="O184" s="4"/>
      <c r="P184" s="4"/>
      <c r="Q184" s="4"/>
    </row>
    <row r="185" customFormat="false" ht="18" hidden="false" customHeight="true" outlineLevel="0" collapsed="false">
      <c r="A185" s="63" t="str">
        <f aca="false">IF($B185="","","PM-"&amp;TEXT(ROW()-5,"0000"))</f>
        <v/>
      </c>
      <c r="B185" s="64"/>
      <c r="C185" s="65" t="str">
        <f aca="false">IF($B185="","",MONTH($B185))</f>
        <v/>
      </c>
      <c r="D185" s="66"/>
      <c r="E185" s="66"/>
      <c r="F185" s="66"/>
      <c r="G185" s="66"/>
      <c r="H185" s="66"/>
      <c r="I185" s="66"/>
      <c r="J185" s="67"/>
      <c r="K185" s="68"/>
      <c r="L185" s="4"/>
      <c r="M185" s="4"/>
      <c r="N185" s="4"/>
      <c r="O185" s="4"/>
      <c r="P185" s="4"/>
      <c r="Q185" s="4"/>
    </row>
    <row r="186" customFormat="false" ht="18" hidden="false" customHeight="true" outlineLevel="0" collapsed="false">
      <c r="A186" s="63" t="str">
        <f aca="false">IF($B186="","","PM-"&amp;TEXT(ROW()-5,"0000"))</f>
        <v/>
      </c>
      <c r="B186" s="69"/>
      <c r="C186" s="65" t="str">
        <f aca="false">IF($B186="","",MONTH($B186))</f>
        <v/>
      </c>
      <c r="D186" s="70"/>
      <c r="E186" s="70"/>
      <c r="F186" s="70"/>
      <c r="G186" s="70"/>
      <c r="H186" s="70"/>
      <c r="I186" s="70"/>
      <c r="J186" s="71"/>
      <c r="K186" s="72"/>
      <c r="L186" s="4"/>
      <c r="M186" s="4"/>
      <c r="N186" s="4"/>
      <c r="O186" s="4"/>
      <c r="P186" s="4"/>
      <c r="Q186" s="4"/>
    </row>
    <row r="187" customFormat="false" ht="18" hidden="false" customHeight="true" outlineLevel="0" collapsed="false">
      <c r="A187" s="63" t="str">
        <f aca="false">IF($B187="","","PM-"&amp;TEXT(ROW()-5,"0000"))</f>
        <v/>
      </c>
      <c r="B187" s="64"/>
      <c r="C187" s="65" t="str">
        <f aca="false">IF($B187="","",MONTH($B187))</f>
        <v/>
      </c>
      <c r="D187" s="66"/>
      <c r="E187" s="66"/>
      <c r="F187" s="66"/>
      <c r="G187" s="66"/>
      <c r="H187" s="66"/>
      <c r="I187" s="66"/>
      <c r="J187" s="67"/>
      <c r="K187" s="68"/>
      <c r="L187" s="4"/>
      <c r="M187" s="4"/>
      <c r="N187" s="4"/>
      <c r="O187" s="4"/>
      <c r="P187" s="4"/>
      <c r="Q187" s="4"/>
    </row>
    <row r="188" customFormat="false" ht="18" hidden="false" customHeight="true" outlineLevel="0" collapsed="false">
      <c r="A188" s="63" t="str">
        <f aca="false">IF($B188="","","PM-"&amp;TEXT(ROW()-5,"0000"))</f>
        <v/>
      </c>
      <c r="B188" s="69"/>
      <c r="C188" s="65" t="str">
        <f aca="false">IF($B188="","",MONTH($B188))</f>
        <v/>
      </c>
      <c r="D188" s="70"/>
      <c r="E188" s="70"/>
      <c r="F188" s="70"/>
      <c r="G188" s="70"/>
      <c r="H188" s="70"/>
      <c r="I188" s="70"/>
      <c r="J188" s="71"/>
      <c r="K188" s="72"/>
      <c r="L188" s="4"/>
      <c r="M188" s="4"/>
      <c r="N188" s="4"/>
      <c r="O188" s="4"/>
      <c r="P188" s="4"/>
      <c r="Q188" s="4"/>
    </row>
    <row r="189" customFormat="false" ht="18" hidden="false" customHeight="true" outlineLevel="0" collapsed="false">
      <c r="A189" s="63" t="str">
        <f aca="false">IF($B189="","","PM-"&amp;TEXT(ROW()-5,"0000"))</f>
        <v/>
      </c>
      <c r="B189" s="64"/>
      <c r="C189" s="65" t="str">
        <f aca="false">IF($B189="","",MONTH($B189))</f>
        <v/>
      </c>
      <c r="D189" s="66"/>
      <c r="E189" s="66"/>
      <c r="F189" s="66"/>
      <c r="G189" s="66"/>
      <c r="H189" s="66"/>
      <c r="I189" s="66"/>
      <c r="J189" s="67"/>
      <c r="K189" s="68"/>
      <c r="L189" s="4"/>
      <c r="M189" s="4"/>
      <c r="N189" s="4"/>
      <c r="O189" s="4"/>
      <c r="P189" s="4"/>
      <c r="Q189" s="4"/>
    </row>
    <row r="190" customFormat="false" ht="18" hidden="false" customHeight="true" outlineLevel="0" collapsed="false">
      <c r="A190" s="63" t="str">
        <f aca="false">IF($B190="","","PM-"&amp;TEXT(ROW()-5,"0000"))</f>
        <v/>
      </c>
      <c r="B190" s="69"/>
      <c r="C190" s="65" t="str">
        <f aca="false">IF($B190="","",MONTH($B190))</f>
        <v/>
      </c>
      <c r="D190" s="70"/>
      <c r="E190" s="70"/>
      <c r="F190" s="70"/>
      <c r="G190" s="70"/>
      <c r="H190" s="70"/>
      <c r="I190" s="70"/>
      <c r="J190" s="71"/>
      <c r="K190" s="72"/>
      <c r="L190" s="4"/>
      <c r="M190" s="4"/>
      <c r="N190" s="4"/>
      <c r="O190" s="4"/>
      <c r="P190" s="4"/>
      <c r="Q190" s="4"/>
    </row>
    <row r="191" customFormat="false" ht="18" hidden="false" customHeight="true" outlineLevel="0" collapsed="false">
      <c r="A191" s="63" t="str">
        <f aca="false">IF($B191="","","PM-"&amp;TEXT(ROW()-5,"0000"))</f>
        <v/>
      </c>
      <c r="B191" s="64"/>
      <c r="C191" s="65" t="str">
        <f aca="false">IF($B191="","",MONTH($B191))</f>
        <v/>
      </c>
      <c r="D191" s="66"/>
      <c r="E191" s="66"/>
      <c r="F191" s="66"/>
      <c r="G191" s="66"/>
      <c r="H191" s="66"/>
      <c r="I191" s="66"/>
      <c r="J191" s="67"/>
      <c r="K191" s="68"/>
      <c r="L191" s="4"/>
      <c r="M191" s="4"/>
      <c r="N191" s="4"/>
      <c r="O191" s="4"/>
      <c r="P191" s="4"/>
      <c r="Q191" s="4"/>
    </row>
    <row r="192" customFormat="false" ht="18" hidden="false" customHeight="true" outlineLevel="0" collapsed="false">
      <c r="A192" s="63" t="str">
        <f aca="false">IF($B192="","","PM-"&amp;TEXT(ROW()-5,"0000"))</f>
        <v/>
      </c>
      <c r="B192" s="69"/>
      <c r="C192" s="65" t="str">
        <f aca="false">IF($B192="","",MONTH($B192))</f>
        <v/>
      </c>
      <c r="D192" s="70"/>
      <c r="E192" s="70"/>
      <c r="F192" s="70"/>
      <c r="G192" s="70"/>
      <c r="H192" s="70"/>
      <c r="I192" s="70"/>
      <c r="J192" s="71"/>
      <c r="K192" s="72"/>
      <c r="L192" s="4"/>
      <c r="M192" s="4"/>
      <c r="N192" s="4"/>
      <c r="O192" s="4"/>
      <c r="P192" s="4"/>
      <c r="Q192" s="4"/>
    </row>
    <row r="193" customFormat="false" ht="18" hidden="false" customHeight="true" outlineLevel="0" collapsed="false">
      <c r="A193" s="63" t="str">
        <f aca="false">IF($B193="","","PM-"&amp;TEXT(ROW()-5,"0000"))</f>
        <v/>
      </c>
      <c r="B193" s="64"/>
      <c r="C193" s="65" t="str">
        <f aca="false">IF($B193="","",MONTH($B193))</f>
        <v/>
      </c>
      <c r="D193" s="66"/>
      <c r="E193" s="66"/>
      <c r="F193" s="66"/>
      <c r="G193" s="66"/>
      <c r="H193" s="66"/>
      <c r="I193" s="66"/>
      <c r="J193" s="67"/>
      <c r="K193" s="68"/>
      <c r="L193" s="4"/>
      <c r="M193" s="4"/>
      <c r="N193" s="4"/>
      <c r="O193" s="4"/>
      <c r="P193" s="4"/>
      <c r="Q193" s="4"/>
    </row>
    <row r="194" customFormat="false" ht="18" hidden="false" customHeight="true" outlineLevel="0" collapsed="false">
      <c r="A194" s="63" t="str">
        <f aca="false">IF($B194="","","PM-"&amp;TEXT(ROW()-5,"0000"))</f>
        <v/>
      </c>
      <c r="B194" s="69"/>
      <c r="C194" s="65" t="str">
        <f aca="false">IF($B194="","",MONTH($B194))</f>
        <v/>
      </c>
      <c r="D194" s="70"/>
      <c r="E194" s="70"/>
      <c r="F194" s="70"/>
      <c r="G194" s="70"/>
      <c r="H194" s="70"/>
      <c r="I194" s="70"/>
      <c r="J194" s="71"/>
      <c r="K194" s="72"/>
      <c r="L194" s="4"/>
      <c r="M194" s="4"/>
      <c r="N194" s="4"/>
      <c r="O194" s="4"/>
      <c r="P194" s="4"/>
      <c r="Q194" s="4"/>
    </row>
    <row r="195" customFormat="false" ht="18" hidden="false" customHeight="true" outlineLevel="0" collapsed="false">
      <c r="A195" s="63" t="str">
        <f aca="false">IF($B195="","","PM-"&amp;TEXT(ROW()-5,"0000"))</f>
        <v/>
      </c>
      <c r="B195" s="64"/>
      <c r="C195" s="65" t="str">
        <f aca="false">IF($B195="","",MONTH($B195))</f>
        <v/>
      </c>
      <c r="D195" s="66"/>
      <c r="E195" s="66"/>
      <c r="F195" s="66"/>
      <c r="G195" s="66"/>
      <c r="H195" s="66"/>
      <c r="I195" s="66"/>
      <c r="J195" s="67"/>
      <c r="K195" s="68"/>
      <c r="L195" s="4"/>
      <c r="M195" s="4"/>
      <c r="N195" s="4"/>
      <c r="O195" s="4"/>
      <c r="P195" s="4"/>
      <c r="Q195" s="4"/>
    </row>
    <row r="196" customFormat="false" ht="18" hidden="false" customHeight="true" outlineLevel="0" collapsed="false">
      <c r="A196" s="63" t="str">
        <f aca="false">IF($B196="","","PM-"&amp;TEXT(ROW()-5,"0000"))</f>
        <v/>
      </c>
      <c r="B196" s="69"/>
      <c r="C196" s="65" t="str">
        <f aca="false">IF($B196="","",MONTH($B196))</f>
        <v/>
      </c>
      <c r="D196" s="70"/>
      <c r="E196" s="70"/>
      <c r="F196" s="70"/>
      <c r="G196" s="70"/>
      <c r="H196" s="70"/>
      <c r="I196" s="70"/>
      <c r="J196" s="71"/>
      <c r="K196" s="72"/>
      <c r="L196" s="4"/>
      <c r="M196" s="4"/>
      <c r="N196" s="4"/>
      <c r="O196" s="4"/>
      <c r="P196" s="4"/>
      <c r="Q196" s="4"/>
    </row>
    <row r="197" customFormat="false" ht="18" hidden="false" customHeight="true" outlineLevel="0" collapsed="false">
      <c r="A197" s="63" t="str">
        <f aca="false">IF($B197="","","PM-"&amp;TEXT(ROW()-5,"0000"))</f>
        <v/>
      </c>
      <c r="B197" s="64"/>
      <c r="C197" s="65" t="str">
        <f aca="false">IF($B197="","",MONTH($B197))</f>
        <v/>
      </c>
      <c r="D197" s="66"/>
      <c r="E197" s="66"/>
      <c r="F197" s="66"/>
      <c r="G197" s="66"/>
      <c r="H197" s="66"/>
      <c r="I197" s="66"/>
      <c r="J197" s="67"/>
      <c r="K197" s="68"/>
      <c r="L197" s="4"/>
      <c r="M197" s="4"/>
      <c r="N197" s="4"/>
      <c r="O197" s="4"/>
      <c r="P197" s="4"/>
      <c r="Q197" s="4"/>
    </row>
    <row r="198" customFormat="false" ht="18" hidden="false" customHeight="true" outlineLevel="0" collapsed="false">
      <c r="A198" s="63" t="str">
        <f aca="false">IF($B198="","","PM-"&amp;TEXT(ROW()-5,"0000"))</f>
        <v/>
      </c>
      <c r="B198" s="69"/>
      <c r="C198" s="65" t="str">
        <f aca="false">IF($B198="","",MONTH($B198))</f>
        <v/>
      </c>
      <c r="D198" s="70"/>
      <c r="E198" s="70"/>
      <c r="F198" s="70"/>
      <c r="G198" s="70"/>
      <c r="H198" s="70"/>
      <c r="I198" s="70"/>
      <c r="J198" s="71"/>
      <c r="K198" s="72"/>
      <c r="L198" s="4"/>
      <c r="M198" s="4"/>
      <c r="N198" s="4"/>
      <c r="O198" s="4"/>
      <c r="P198" s="4"/>
      <c r="Q198" s="4"/>
    </row>
    <row r="199" customFormat="false" ht="18" hidden="false" customHeight="true" outlineLevel="0" collapsed="false">
      <c r="A199" s="63" t="str">
        <f aca="false">IF($B199="","","PM-"&amp;TEXT(ROW()-5,"0000"))</f>
        <v/>
      </c>
      <c r="B199" s="64"/>
      <c r="C199" s="65" t="str">
        <f aca="false">IF($B199="","",MONTH($B199))</f>
        <v/>
      </c>
      <c r="D199" s="66"/>
      <c r="E199" s="66"/>
      <c r="F199" s="66"/>
      <c r="G199" s="66"/>
      <c r="H199" s="66"/>
      <c r="I199" s="66"/>
      <c r="J199" s="67"/>
      <c r="K199" s="68"/>
      <c r="L199" s="4"/>
      <c r="M199" s="4"/>
      <c r="N199" s="4"/>
      <c r="O199" s="4"/>
      <c r="P199" s="4"/>
      <c r="Q199" s="4"/>
    </row>
    <row r="200" customFormat="false" ht="18" hidden="false" customHeight="true" outlineLevel="0" collapsed="false">
      <c r="A200" s="63" t="str">
        <f aca="false">IF($B200="","","PM-"&amp;TEXT(ROW()-5,"0000"))</f>
        <v/>
      </c>
      <c r="B200" s="69"/>
      <c r="C200" s="65" t="str">
        <f aca="false">IF($B200="","",MONTH($B200))</f>
        <v/>
      </c>
      <c r="D200" s="70"/>
      <c r="E200" s="70"/>
      <c r="F200" s="70"/>
      <c r="G200" s="70"/>
      <c r="H200" s="70"/>
      <c r="I200" s="70"/>
      <c r="J200" s="71"/>
      <c r="K200" s="72"/>
      <c r="L200" s="4"/>
      <c r="M200" s="4"/>
      <c r="N200" s="4"/>
      <c r="O200" s="4"/>
      <c r="P200" s="4"/>
      <c r="Q200" s="4"/>
    </row>
    <row r="201" customFormat="false" ht="18" hidden="false" customHeight="true" outlineLevel="0" collapsed="false">
      <c r="A201" s="63" t="str">
        <f aca="false">IF($B201="","","PM-"&amp;TEXT(ROW()-5,"0000"))</f>
        <v/>
      </c>
      <c r="B201" s="64"/>
      <c r="C201" s="65" t="str">
        <f aca="false">IF($B201="","",MONTH($B201))</f>
        <v/>
      </c>
      <c r="D201" s="66"/>
      <c r="E201" s="66"/>
      <c r="F201" s="66"/>
      <c r="G201" s="66"/>
      <c r="H201" s="66"/>
      <c r="I201" s="66"/>
      <c r="J201" s="67"/>
      <c r="K201" s="68"/>
      <c r="L201" s="4"/>
      <c r="M201" s="4"/>
      <c r="N201" s="4"/>
      <c r="O201" s="4"/>
      <c r="P201" s="4"/>
      <c r="Q201" s="4"/>
    </row>
    <row r="202" customFormat="false" ht="18" hidden="false" customHeight="true" outlineLevel="0" collapsed="false">
      <c r="A202" s="63" t="str">
        <f aca="false">IF($B202="","","PM-"&amp;TEXT(ROW()-5,"0000"))</f>
        <v/>
      </c>
      <c r="B202" s="69"/>
      <c r="C202" s="65" t="str">
        <f aca="false">IF($B202="","",MONTH($B202))</f>
        <v/>
      </c>
      <c r="D202" s="70"/>
      <c r="E202" s="70"/>
      <c r="F202" s="70"/>
      <c r="G202" s="70"/>
      <c r="H202" s="70"/>
      <c r="I202" s="70"/>
      <c r="J202" s="71"/>
      <c r="K202" s="72"/>
      <c r="L202" s="4"/>
      <c r="M202" s="4"/>
      <c r="N202" s="4"/>
      <c r="O202" s="4"/>
      <c r="P202" s="4"/>
      <c r="Q202" s="4"/>
    </row>
    <row r="203" customFormat="false" ht="18" hidden="false" customHeight="true" outlineLevel="0" collapsed="false">
      <c r="A203" s="63" t="str">
        <f aca="false">IF($B203="","","PM-"&amp;TEXT(ROW()-5,"0000"))</f>
        <v/>
      </c>
      <c r="B203" s="64"/>
      <c r="C203" s="65" t="str">
        <f aca="false">IF($B203="","",MONTH($B203))</f>
        <v/>
      </c>
      <c r="D203" s="66"/>
      <c r="E203" s="66"/>
      <c r="F203" s="66"/>
      <c r="G203" s="66"/>
      <c r="H203" s="66"/>
      <c r="I203" s="66"/>
      <c r="J203" s="67"/>
      <c r="K203" s="68"/>
      <c r="L203" s="4"/>
      <c r="M203" s="4"/>
      <c r="N203" s="4"/>
      <c r="O203" s="4"/>
      <c r="P203" s="4"/>
      <c r="Q203" s="4"/>
    </row>
    <row r="204" customFormat="false" ht="18" hidden="false" customHeight="true" outlineLevel="0" collapsed="false">
      <c r="A204" s="63" t="str">
        <f aca="false">IF($B204="","","PM-"&amp;TEXT(ROW()-5,"0000"))</f>
        <v/>
      </c>
      <c r="B204" s="69"/>
      <c r="C204" s="65" t="str">
        <f aca="false">IF($B204="","",MONTH($B204))</f>
        <v/>
      </c>
      <c r="D204" s="70"/>
      <c r="E204" s="70"/>
      <c r="F204" s="70"/>
      <c r="G204" s="70"/>
      <c r="H204" s="70"/>
      <c r="I204" s="70"/>
      <c r="J204" s="71"/>
      <c r="K204" s="72"/>
      <c r="L204" s="4"/>
      <c r="M204" s="4"/>
      <c r="N204" s="4"/>
      <c r="O204" s="4"/>
      <c r="P204" s="4"/>
      <c r="Q204" s="4"/>
    </row>
    <row r="205" customFormat="false" ht="18" hidden="false" customHeight="true" outlineLevel="0" collapsed="false">
      <c r="A205" s="63" t="str">
        <f aca="false">IF($B205="","","PM-"&amp;TEXT(ROW()-5,"0000"))</f>
        <v/>
      </c>
      <c r="B205" s="64"/>
      <c r="C205" s="65" t="str">
        <f aca="false">IF($B205="","",MONTH($B205))</f>
        <v/>
      </c>
      <c r="D205" s="66"/>
      <c r="E205" s="66"/>
      <c r="F205" s="66"/>
      <c r="G205" s="66"/>
      <c r="H205" s="66"/>
      <c r="I205" s="66"/>
      <c r="J205" s="67"/>
      <c r="K205" s="68"/>
      <c r="L205" s="4"/>
      <c r="M205" s="4"/>
      <c r="N205" s="4"/>
      <c r="O205" s="4"/>
      <c r="P205" s="4"/>
      <c r="Q205" s="4"/>
    </row>
    <row r="206" customFormat="false" ht="18" hidden="false" customHeight="true" outlineLevel="0" collapsed="false">
      <c r="A206" s="63" t="str">
        <f aca="false">IF($B206="","","PM-"&amp;TEXT(ROW()-5,"0000"))</f>
        <v/>
      </c>
      <c r="B206" s="69"/>
      <c r="C206" s="65" t="str">
        <f aca="false">IF($B206="","",MONTH($B206))</f>
        <v/>
      </c>
      <c r="D206" s="70"/>
      <c r="E206" s="70"/>
      <c r="F206" s="70"/>
      <c r="G206" s="70"/>
      <c r="H206" s="70"/>
      <c r="I206" s="70"/>
      <c r="J206" s="71"/>
      <c r="K206" s="72"/>
      <c r="L206" s="4"/>
      <c r="M206" s="4"/>
      <c r="N206" s="4"/>
      <c r="O206" s="4"/>
      <c r="P206" s="4"/>
      <c r="Q206" s="4"/>
    </row>
    <row r="207" customFormat="false" ht="18" hidden="false" customHeight="true" outlineLevel="0" collapsed="false">
      <c r="A207" s="63" t="str">
        <f aca="false">IF($B207="","","PM-"&amp;TEXT(ROW()-5,"0000"))</f>
        <v/>
      </c>
      <c r="B207" s="64"/>
      <c r="C207" s="65" t="str">
        <f aca="false">IF($B207="","",MONTH($B207))</f>
        <v/>
      </c>
      <c r="D207" s="66"/>
      <c r="E207" s="66"/>
      <c r="F207" s="66"/>
      <c r="G207" s="66"/>
      <c r="H207" s="66"/>
      <c r="I207" s="66"/>
      <c r="J207" s="67"/>
      <c r="K207" s="68"/>
      <c r="L207" s="4"/>
      <c r="M207" s="4"/>
      <c r="N207" s="4"/>
      <c r="O207" s="4"/>
      <c r="P207" s="4"/>
      <c r="Q207" s="4"/>
    </row>
    <row r="208" customFormat="false" ht="18" hidden="false" customHeight="true" outlineLevel="0" collapsed="false">
      <c r="A208" s="63" t="str">
        <f aca="false">IF($B208="","","PM-"&amp;TEXT(ROW()-5,"0000"))</f>
        <v/>
      </c>
      <c r="B208" s="69"/>
      <c r="C208" s="65" t="str">
        <f aca="false">IF($B208="","",MONTH($B208))</f>
        <v/>
      </c>
      <c r="D208" s="70"/>
      <c r="E208" s="70"/>
      <c r="F208" s="70"/>
      <c r="G208" s="70"/>
      <c r="H208" s="70"/>
      <c r="I208" s="70"/>
      <c r="J208" s="71"/>
      <c r="K208" s="72"/>
      <c r="L208" s="4"/>
      <c r="M208" s="4"/>
      <c r="N208" s="4"/>
      <c r="O208" s="4"/>
      <c r="P208" s="4"/>
      <c r="Q208" s="4"/>
    </row>
    <row r="209" customFormat="false" ht="18" hidden="false" customHeight="true" outlineLevel="0" collapsed="false">
      <c r="A209" s="63" t="str">
        <f aca="false">IF($B209="","","PM-"&amp;TEXT(ROW()-5,"0000"))</f>
        <v/>
      </c>
      <c r="B209" s="64"/>
      <c r="C209" s="65" t="str">
        <f aca="false">IF($B209="","",MONTH($B209))</f>
        <v/>
      </c>
      <c r="D209" s="66"/>
      <c r="E209" s="66"/>
      <c r="F209" s="66"/>
      <c r="G209" s="66"/>
      <c r="H209" s="66"/>
      <c r="I209" s="66"/>
      <c r="J209" s="67"/>
      <c r="K209" s="68"/>
      <c r="L209" s="4"/>
      <c r="M209" s="4"/>
      <c r="N209" s="4"/>
      <c r="O209" s="4"/>
      <c r="P209" s="4"/>
      <c r="Q209" s="4"/>
    </row>
    <row r="210" customFormat="false" ht="18" hidden="false" customHeight="true" outlineLevel="0" collapsed="false">
      <c r="A210" s="63" t="str">
        <f aca="false">IF($B210="","","PM-"&amp;TEXT(ROW()-5,"0000"))</f>
        <v/>
      </c>
      <c r="B210" s="69"/>
      <c r="C210" s="65" t="str">
        <f aca="false">IF($B210="","",MONTH($B210))</f>
        <v/>
      </c>
      <c r="D210" s="70"/>
      <c r="E210" s="70"/>
      <c r="F210" s="70"/>
      <c r="G210" s="70"/>
      <c r="H210" s="70"/>
      <c r="I210" s="70"/>
      <c r="J210" s="71"/>
      <c r="K210" s="72"/>
      <c r="L210" s="4"/>
      <c r="M210" s="4"/>
      <c r="N210" s="4"/>
      <c r="O210" s="4"/>
      <c r="P210" s="4"/>
      <c r="Q210" s="4"/>
    </row>
    <row r="211" customFormat="false" ht="18" hidden="false" customHeight="true" outlineLevel="0" collapsed="false">
      <c r="A211" s="63" t="str">
        <f aca="false">IF($B211="","","PM-"&amp;TEXT(ROW()-5,"0000"))</f>
        <v/>
      </c>
      <c r="B211" s="64"/>
      <c r="C211" s="65" t="str">
        <f aca="false">IF($B211="","",MONTH($B211))</f>
        <v/>
      </c>
      <c r="D211" s="66"/>
      <c r="E211" s="66"/>
      <c r="F211" s="66"/>
      <c r="G211" s="66"/>
      <c r="H211" s="66"/>
      <c r="I211" s="66"/>
      <c r="J211" s="67"/>
      <c r="K211" s="68"/>
      <c r="L211" s="4"/>
      <c r="M211" s="4"/>
      <c r="N211" s="4"/>
      <c r="O211" s="4"/>
      <c r="P211" s="4"/>
      <c r="Q211" s="4"/>
    </row>
    <row r="212" customFormat="false" ht="18" hidden="false" customHeight="true" outlineLevel="0" collapsed="false">
      <c r="A212" s="63" t="str">
        <f aca="false">IF($B212="","","PM-"&amp;TEXT(ROW()-5,"0000"))</f>
        <v/>
      </c>
      <c r="B212" s="69"/>
      <c r="C212" s="65" t="str">
        <f aca="false">IF($B212="","",MONTH($B212))</f>
        <v/>
      </c>
      <c r="D212" s="70"/>
      <c r="E212" s="70"/>
      <c r="F212" s="70"/>
      <c r="G212" s="70"/>
      <c r="H212" s="70"/>
      <c r="I212" s="70"/>
      <c r="J212" s="71"/>
      <c r="K212" s="72"/>
      <c r="L212" s="4"/>
      <c r="M212" s="4"/>
      <c r="N212" s="4"/>
      <c r="O212" s="4"/>
      <c r="P212" s="4"/>
      <c r="Q212" s="4"/>
    </row>
    <row r="213" customFormat="false" ht="18" hidden="false" customHeight="true" outlineLevel="0" collapsed="false">
      <c r="A213" s="63" t="str">
        <f aca="false">IF($B213="","","PM-"&amp;TEXT(ROW()-5,"0000"))</f>
        <v/>
      </c>
      <c r="B213" s="64"/>
      <c r="C213" s="65" t="str">
        <f aca="false">IF($B213="","",MONTH($B213))</f>
        <v/>
      </c>
      <c r="D213" s="66"/>
      <c r="E213" s="66"/>
      <c r="F213" s="66"/>
      <c r="G213" s="66"/>
      <c r="H213" s="66"/>
      <c r="I213" s="66"/>
      <c r="J213" s="67"/>
      <c r="K213" s="68"/>
      <c r="L213" s="4"/>
      <c r="M213" s="4"/>
      <c r="N213" s="4"/>
      <c r="O213" s="4"/>
      <c r="P213" s="4"/>
      <c r="Q213" s="4"/>
    </row>
    <row r="214" customFormat="false" ht="18" hidden="false" customHeight="true" outlineLevel="0" collapsed="false">
      <c r="A214" s="63" t="str">
        <f aca="false">IF($B214="","","PM-"&amp;TEXT(ROW()-5,"0000"))</f>
        <v/>
      </c>
      <c r="B214" s="69"/>
      <c r="C214" s="65" t="str">
        <f aca="false">IF($B214="","",MONTH($B214))</f>
        <v/>
      </c>
      <c r="D214" s="70"/>
      <c r="E214" s="70"/>
      <c r="F214" s="70"/>
      <c r="G214" s="70"/>
      <c r="H214" s="70"/>
      <c r="I214" s="70"/>
      <c r="J214" s="71"/>
      <c r="K214" s="72"/>
      <c r="L214" s="4"/>
      <c r="M214" s="4"/>
      <c r="N214" s="4"/>
      <c r="O214" s="4"/>
      <c r="P214" s="4"/>
      <c r="Q214" s="4"/>
    </row>
    <row r="215" customFormat="false" ht="18" hidden="false" customHeight="true" outlineLevel="0" collapsed="false">
      <c r="A215" s="63" t="str">
        <f aca="false">IF($B215="","","PM-"&amp;TEXT(ROW()-5,"0000"))</f>
        <v/>
      </c>
      <c r="B215" s="64"/>
      <c r="C215" s="65" t="str">
        <f aca="false">IF($B215="","",MONTH($B215))</f>
        <v/>
      </c>
      <c r="D215" s="66"/>
      <c r="E215" s="66"/>
      <c r="F215" s="66"/>
      <c r="G215" s="66"/>
      <c r="H215" s="66"/>
      <c r="I215" s="66"/>
      <c r="J215" s="67"/>
      <c r="K215" s="68"/>
      <c r="L215" s="4"/>
      <c r="M215" s="4"/>
      <c r="N215" s="4"/>
      <c r="O215" s="4"/>
      <c r="P215" s="4"/>
      <c r="Q215" s="4"/>
    </row>
    <row r="216" customFormat="false" ht="18" hidden="false" customHeight="true" outlineLevel="0" collapsed="false">
      <c r="A216" s="63" t="str">
        <f aca="false">IF($B216="","","PM-"&amp;TEXT(ROW()-5,"0000"))</f>
        <v/>
      </c>
      <c r="B216" s="69"/>
      <c r="C216" s="65" t="str">
        <f aca="false">IF($B216="","",MONTH($B216))</f>
        <v/>
      </c>
      <c r="D216" s="70"/>
      <c r="E216" s="70"/>
      <c r="F216" s="70"/>
      <c r="G216" s="70"/>
      <c r="H216" s="70"/>
      <c r="I216" s="70"/>
      <c r="J216" s="71"/>
      <c r="K216" s="72"/>
      <c r="L216" s="4"/>
      <c r="M216" s="4"/>
      <c r="N216" s="4"/>
      <c r="O216" s="4"/>
      <c r="P216" s="4"/>
      <c r="Q216" s="4"/>
    </row>
    <row r="217" customFormat="false" ht="18" hidden="false" customHeight="true" outlineLevel="0" collapsed="false">
      <c r="A217" s="63" t="str">
        <f aca="false">IF($B217="","","PM-"&amp;TEXT(ROW()-5,"0000"))</f>
        <v/>
      </c>
      <c r="B217" s="64"/>
      <c r="C217" s="65" t="str">
        <f aca="false">IF($B217="","",MONTH($B217))</f>
        <v/>
      </c>
      <c r="D217" s="66"/>
      <c r="E217" s="66"/>
      <c r="F217" s="66"/>
      <c r="G217" s="66"/>
      <c r="H217" s="66"/>
      <c r="I217" s="66"/>
      <c r="J217" s="67"/>
      <c r="K217" s="68"/>
      <c r="L217" s="4"/>
      <c r="M217" s="4"/>
      <c r="N217" s="4"/>
      <c r="O217" s="4"/>
      <c r="P217" s="4"/>
      <c r="Q217" s="4"/>
    </row>
    <row r="218" customFormat="false" ht="18" hidden="false" customHeight="true" outlineLevel="0" collapsed="false">
      <c r="A218" s="63" t="str">
        <f aca="false">IF($B218="","","PM-"&amp;TEXT(ROW()-5,"0000"))</f>
        <v/>
      </c>
      <c r="B218" s="69"/>
      <c r="C218" s="65" t="str">
        <f aca="false">IF($B218="","",MONTH($B218))</f>
        <v/>
      </c>
      <c r="D218" s="70"/>
      <c r="E218" s="70"/>
      <c r="F218" s="70"/>
      <c r="G218" s="70"/>
      <c r="H218" s="70"/>
      <c r="I218" s="70"/>
      <c r="J218" s="71"/>
      <c r="K218" s="72"/>
      <c r="L218" s="4"/>
      <c r="M218" s="4"/>
      <c r="N218" s="4"/>
      <c r="O218" s="4"/>
      <c r="P218" s="4"/>
      <c r="Q218" s="4"/>
    </row>
    <row r="219" customFormat="false" ht="18" hidden="false" customHeight="true" outlineLevel="0" collapsed="false">
      <c r="A219" s="63" t="str">
        <f aca="false">IF($B219="","","PM-"&amp;TEXT(ROW()-5,"0000"))</f>
        <v/>
      </c>
      <c r="B219" s="64"/>
      <c r="C219" s="65" t="str">
        <f aca="false">IF($B219="","",MONTH($B219))</f>
        <v/>
      </c>
      <c r="D219" s="66"/>
      <c r="E219" s="66"/>
      <c r="F219" s="66"/>
      <c r="G219" s="66"/>
      <c r="H219" s="66"/>
      <c r="I219" s="66"/>
      <c r="J219" s="67"/>
      <c r="K219" s="68"/>
      <c r="L219" s="4"/>
      <c r="M219" s="4"/>
      <c r="N219" s="4"/>
      <c r="O219" s="4"/>
      <c r="P219" s="4"/>
      <c r="Q219" s="4"/>
    </row>
    <row r="220" customFormat="false" ht="18" hidden="false" customHeight="true" outlineLevel="0" collapsed="false">
      <c r="A220" s="63" t="str">
        <f aca="false">IF($B220="","","PM-"&amp;TEXT(ROW()-5,"0000"))</f>
        <v/>
      </c>
      <c r="B220" s="69"/>
      <c r="C220" s="65" t="str">
        <f aca="false">IF($B220="","",MONTH($B220))</f>
        <v/>
      </c>
      <c r="D220" s="70"/>
      <c r="E220" s="70"/>
      <c r="F220" s="70"/>
      <c r="G220" s="70"/>
      <c r="H220" s="70"/>
      <c r="I220" s="70"/>
      <c r="J220" s="71"/>
      <c r="K220" s="72"/>
      <c r="L220" s="4"/>
      <c r="M220" s="4"/>
      <c r="N220" s="4"/>
      <c r="O220" s="4"/>
      <c r="P220" s="4"/>
      <c r="Q220" s="4"/>
    </row>
    <row r="221" customFormat="false" ht="18" hidden="false" customHeight="true" outlineLevel="0" collapsed="false">
      <c r="A221" s="63" t="str">
        <f aca="false">IF($B221="","","PM-"&amp;TEXT(ROW()-5,"0000"))</f>
        <v/>
      </c>
      <c r="B221" s="64"/>
      <c r="C221" s="65" t="str">
        <f aca="false">IF($B221="","",MONTH($B221))</f>
        <v/>
      </c>
      <c r="D221" s="66"/>
      <c r="E221" s="66"/>
      <c r="F221" s="66"/>
      <c r="G221" s="66"/>
      <c r="H221" s="66"/>
      <c r="I221" s="66"/>
      <c r="J221" s="67"/>
      <c r="K221" s="68"/>
      <c r="L221" s="4"/>
      <c r="M221" s="4"/>
      <c r="N221" s="4"/>
      <c r="O221" s="4"/>
      <c r="P221" s="4"/>
      <c r="Q221" s="4"/>
    </row>
    <row r="222" customFormat="false" ht="18" hidden="false" customHeight="true" outlineLevel="0" collapsed="false">
      <c r="A222" s="63" t="str">
        <f aca="false">IF($B222="","","PM-"&amp;TEXT(ROW()-5,"0000"))</f>
        <v/>
      </c>
      <c r="B222" s="69"/>
      <c r="C222" s="65" t="str">
        <f aca="false">IF($B222="","",MONTH($B222))</f>
        <v/>
      </c>
      <c r="D222" s="70"/>
      <c r="E222" s="70"/>
      <c r="F222" s="70"/>
      <c r="G222" s="70"/>
      <c r="H222" s="70"/>
      <c r="I222" s="70"/>
      <c r="J222" s="71"/>
      <c r="K222" s="72"/>
      <c r="L222" s="4"/>
      <c r="M222" s="4"/>
      <c r="N222" s="4"/>
      <c r="O222" s="4"/>
      <c r="P222" s="4"/>
      <c r="Q222" s="4"/>
    </row>
    <row r="223" customFormat="false" ht="18" hidden="false" customHeight="true" outlineLevel="0" collapsed="false">
      <c r="A223" s="63" t="str">
        <f aca="false">IF($B223="","","PM-"&amp;TEXT(ROW()-5,"0000"))</f>
        <v/>
      </c>
      <c r="B223" s="64"/>
      <c r="C223" s="65" t="str">
        <f aca="false">IF($B223="","",MONTH($B223))</f>
        <v/>
      </c>
      <c r="D223" s="66"/>
      <c r="E223" s="66"/>
      <c r="F223" s="66"/>
      <c r="G223" s="66"/>
      <c r="H223" s="66"/>
      <c r="I223" s="66"/>
      <c r="J223" s="67"/>
      <c r="K223" s="68"/>
      <c r="L223" s="4"/>
      <c r="M223" s="4"/>
      <c r="N223" s="4"/>
      <c r="O223" s="4"/>
      <c r="P223" s="4"/>
      <c r="Q223" s="4"/>
    </row>
    <row r="224" customFormat="false" ht="18" hidden="false" customHeight="true" outlineLevel="0" collapsed="false">
      <c r="A224" s="63" t="str">
        <f aca="false">IF($B224="","","PM-"&amp;TEXT(ROW()-5,"0000"))</f>
        <v/>
      </c>
      <c r="B224" s="69"/>
      <c r="C224" s="65" t="str">
        <f aca="false">IF($B224="","",MONTH($B224))</f>
        <v/>
      </c>
      <c r="D224" s="70"/>
      <c r="E224" s="70"/>
      <c r="F224" s="70"/>
      <c r="G224" s="70"/>
      <c r="H224" s="70"/>
      <c r="I224" s="70"/>
      <c r="J224" s="71"/>
      <c r="K224" s="72"/>
      <c r="L224" s="4"/>
      <c r="M224" s="4"/>
      <c r="N224" s="4"/>
      <c r="O224" s="4"/>
      <c r="P224" s="4"/>
      <c r="Q224" s="4"/>
    </row>
    <row r="225" customFormat="false" ht="18" hidden="false" customHeight="true" outlineLevel="0" collapsed="false">
      <c r="A225" s="63" t="str">
        <f aca="false">IF($B225="","","PM-"&amp;TEXT(ROW()-5,"0000"))</f>
        <v/>
      </c>
      <c r="B225" s="64"/>
      <c r="C225" s="65" t="str">
        <f aca="false">IF($B225="","",MONTH($B225))</f>
        <v/>
      </c>
      <c r="D225" s="66"/>
      <c r="E225" s="66"/>
      <c r="F225" s="66"/>
      <c r="G225" s="66"/>
      <c r="H225" s="66"/>
      <c r="I225" s="66"/>
      <c r="J225" s="67"/>
      <c r="K225" s="68"/>
      <c r="L225" s="4"/>
      <c r="M225" s="4"/>
      <c r="N225" s="4"/>
      <c r="O225" s="4"/>
      <c r="P225" s="4"/>
      <c r="Q225" s="4"/>
    </row>
    <row r="226" customFormat="false" ht="18" hidden="false" customHeight="true" outlineLevel="0" collapsed="false">
      <c r="A226" s="63" t="str">
        <f aca="false">IF($B226="","","PM-"&amp;TEXT(ROW()-5,"0000"))</f>
        <v/>
      </c>
      <c r="B226" s="69"/>
      <c r="C226" s="65" t="str">
        <f aca="false">IF($B226="","",MONTH($B226))</f>
        <v/>
      </c>
      <c r="D226" s="70"/>
      <c r="E226" s="70"/>
      <c r="F226" s="70"/>
      <c r="G226" s="70"/>
      <c r="H226" s="70"/>
      <c r="I226" s="70"/>
      <c r="J226" s="71"/>
      <c r="K226" s="72"/>
      <c r="L226" s="4"/>
      <c r="M226" s="4"/>
      <c r="N226" s="4"/>
      <c r="O226" s="4"/>
      <c r="P226" s="4"/>
      <c r="Q226" s="4"/>
    </row>
    <row r="227" customFormat="false" ht="18" hidden="false" customHeight="true" outlineLevel="0" collapsed="false">
      <c r="A227" s="63" t="str">
        <f aca="false">IF($B227="","","PM-"&amp;TEXT(ROW()-5,"0000"))</f>
        <v/>
      </c>
      <c r="B227" s="64"/>
      <c r="C227" s="65" t="str">
        <f aca="false">IF($B227="","",MONTH($B227))</f>
        <v/>
      </c>
      <c r="D227" s="66"/>
      <c r="E227" s="66"/>
      <c r="F227" s="66"/>
      <c r="G227" s="66"/>
      <c r="H227" s="66"/>
      <c r="I227" s="66"/>
      <c r="J227" s="67"/>
      <c r="K227" s="68"/>
      <c r="L227" s="4"/>
      <c r="M227" s="4"/>
      <c r="N227" s="4"/>
      <c r="O227" s="4"/>
      <c r="P227" s="4"/>
      <c r="Q227" s="4"/>
    </row>
    <row r="228" customFormat="false" ht="18" hidden="false" customHeight="true" outlineLevel="0" collapsed="false">
      <c r="A228" s="63" t="str">
        <f aca="false">IF($B228="","","PM-"&amp;TEXT(ROW()-5,"0000"))</f>
        <v/>
      </c>
      <c r="B228" s="69"/>
      <c r="C228" s="65" t="str">
        <f aca="false">IF($B228="","",MONTH($B228))</f>
        <v/>
      </c>
      <c r="D228" s="70"/>
      <c r="E228" s="70"/>
      <c r="F228" s="70"/>
      <c r="G228" s="70"/>
      <c r="H228" s="70"/>
      <c r="I228" s="70"/>
      <c r="J228" s="71"/>
      <c r="K228" s="72"/>
      <c r="L228" s="4"/>
      <c r="M228" s="4"/>
      <c r="N228" s="4"/>
      <c r="O228" s="4"/>
      <c r="P228" s="4"/>
      <c r="Q228" s="4"/>
    </row>
    <row r="229" customFormat="false" ht="18" hidden="false" customHeight="true" outlineLevel="0" collapsed="false">
      <c r="A229" s="63" t="str">
        <f aca="false">IF($B229="","","PM-"&amp;TEXT(ROW()-5,"0000"))</f>
        <v/>
      </c>
      <c r="B229" s="64"/>
      <c r="C229" s="65" t="str">
        <f aca="false">IF($B229="","",MONTH($B229))</f>
        <v/>
      </c>
      <c r="D229" s="66"/>
      <c r="E229" s="66"/>
      <c r="F229" s="66"/>
      <c r="G229" s="66"/>
      <c r="H229" s="66"/>
      <c r="I229" s="66"/>
      <c r="J229" s="67"/>
      <c r="K229" s="68"/>
      <c r="L229" s="4"/>
      <c r="M229" s="4"/>
      <c r="N229" s="4"/>
      <c r="O229" s="4"/>
      <c r="P229" s="4"/>
      <c r="Q229" s="4"/>
    </row>
    <row r="230" customFormat="false" ht="18" hidden="false" customHeight="true" outlineLevel="0" collapsed="false">
      <c r="A230" s="63" t="str">
        <f aca="false">IF($B230="","","PM-"&amp;TEXT(ROW()-5,"0000"))</f>
        <v/>
      </c>
      <c r="B230" s="69"/>
      <c r="C230" s="65" t="str">
        <f aca="false">IF($B230="","",MONTH($B230))</f>
        <v/>
      </c>
      <c r="D230" s="70"/>
      <c r="E230" s="70"/>
      <c r="F230" s="70"/>
      <c r="G230" s="70"/>
      <c r="H230" s="70"/>
      <c r="I230" s="70"/>
      <c r="J230" s="71"/>
      <c r="K230" s="72"/>
      <c r="L230" s="4"/>
      <c r="M230" s="4"/>
      <c r="N230" s="4"/>
      <c r="O230" s="4"/>
      <c r="P230" s="4"/>
      <c r="Q230" s="4"/>
    </row>
    <row r="231" customFormat="false" ht="18" hidden="false" customHeight="true" outlineLevel="0" collapsed="false">
      <c r="A231" s="63" t="str">
        <f aca="false">IF($B231="","","PM-"&amp;TEXT(ROW()-5,"0000"))</f>
        <v/>
      </c>
      <c r="B231" s="64"/>
      <c r="C231" s="65" t="str">
        <f aca="false">IF($B231="","",MONTH($B231))</f>
        <v/>
      </c>
      <c r="D231" s="66"/>
      <c r="E231" s="66"/>
      <c r="F231" s="66"/>
      <c r="G231" s="66"/>
      <c r="H231" s="66"/>
      <c r="I231" s="66"/>
      <c r="J231" s="67"/>
      <c r="K231" s="68"/>
      <c r="L231" s="4"/>
      <c r="M231" s="4"/>
      <c r="N231" s="4"/>
      <c r="O231" s="4"/>
      <c r="P231" s="4"/>
      <c r="Q231" s="4"/>
    </row>
    <row r="232" customFormat="false" ht="18" hidden="false" customHeight="true" outlineLevel="0" collapsed="false">
      <c r="A232" s="63" t="str">
        <f aca="false">IF($B232="","","PM-"&amp;TEXT(ROW()-5,"0000"))</f>
        <v/>
      </c>
      <c r="B232" s="69"/>
      <c r="C232" s="65" t="str">
        <f aca="false">IF($B232="","",MONTH($B232))</f>
        <v/>
      </c>
      <c r="D232" s="70"/>
      <c r="E232" s="70"/>
      <c r="F232" s="70"/>
      <c r="G232" s="70"/>
      <c r="H232" s="70"/>
      <c r="I232" s="70"/>
      <c r="J232" s="71"/>
      <c r="K232" s="72"/>
      <c r="L232" s="4"/>
      <c r="M232" s="4"/>
      <c r="N232" s="4"/>
      <c r="O232" s="4"/>
      <c r="P232" s="4"/>
      <c r="Q232" s="4"/>
    </row>
    <row r="233" customFormat="false" ht="18" hidden="false" customHeight="true" outlineLevel="0" collapsed="false">
      <c r="A233" s="63" t="str">
        <f aca="false">IF($B233="","","PM-"&amp;TEXT(ROW()-5,"0000"))</f>
        <v/>
      </c>
      <c r="B233" s="64"/>
      <c r="C233" s="65" t="str">
        <f aca="false">IF($B233="","",MONTH($B233))</f>
        <v/>
      </c>
      <c r="D233" s="66"/>
      <c r="E233" s="66"/>
      <c r="F233" s="66"/>
      <c r="G233" s="66"/>
      <c r="H233" s="66"/>
      <c r="I233" s="66"/>
      <c r="J233" s="67"/>
      <c r="K233" s="68"/>
      <c r="L233" s="4"/>
      <c r="M233" s="4"/>
      <c r="N233" s="4"/>
      <c r="O233" s="4"/>
      <c r="P233" s="4"/>
      <c r="Q233" s="4"/>
    </row>
    <row r="234" customFormat="false" ht="18" hidden="false" customHeight="true" outlineLevel="0" collapsed="false">
      <c r="A234" s="63" t="str">
        <f aca="false">IF($B234="","","PM-"&amp;TEXT(ROW()-5,"0000"))</f>
        <v/>
      </c>
      <c r="B234" s="69"/>
      <c r="C234" s="65" t="str">
        <f aca="false">IF($B234="","",MONTH($B234))</f>
        <v/>
      </c>
      <c r="D234" s="70"/>
      <c r="E234" s="70"/>
      <c r="F234" s="70"/>
      <c r="G234" s="70"/>
      <c r="H234" s="70"/>
      <c r="I234" s="70"/>
      <c r="J234" s="71"/>
      <c r="K234" s="72"/>
      <c r="L234" s="4"/>
      <c r="M234" s="4"/>
      <c r="N234" s="4"/>
      <c r="O234" s="4"/>
      <c r="P234" s="4"/>
      <c r="Q234" s="4"/>
    </row>
    <row r="235" customFormat="false" ht="18" hidden="false" customHeight="true" outlineLevel="0" collapsed="false">
      <c r="A235" s="63" t="str">
        <f aca="false">IF($B235="","","PM-"&amp;TEXT(ROW()-5,"0000"))</f>
        <v/>
      </c>
      <c r="B235" s="64"/>
      <c r="C235" s="65" t="str">
        <f aca="false">IF($B235="","",MONTH($B235))</f>
        <v/>
      </c>
      <c r="D235" s="66"/>
      <c r="E235" s="66"/>
      <c r="F235" s="66"/>
      <c r="G235" s="66"/>
      <c r="H235" s="66"/>
      <c r="I235" s="66"/>
      <c r="J235" s="67"/>
      <c r="K235" s="68"/>
      <c r="L235" s="4"/>
      <c r="M235" s="4"/>
      <c r="N235" s="4"/>
      <c r="O235" s="4"/>
      <c r="P235" s="4"/>
      <c r="Q235" s="4"/>
    </row>
    <row r="236" customFormat="false" ht="18" hidden="false" customHeight="true" outlineLevel="0" collapsed="false">
      <c r="A236" s="63" t="str">
        <f aca="false">IF($B236="","","PM-"&amp;TEXT(ROW()-5,"0000"))</f>
        <v/>
      </c>
      <c r="B236" s="69"/>
      <c r="C236" s="65" t="str">
        <f aca="false">IF($B236="","",MONTH($B236))</f>
        <v/>
      </c>
      <c r="D236" s="70"/>
      <c r="E236" s="70"/>
      <c r="F236" s="70"/>
      <c r="G236" s="70"/>
      <c r="H236" s="70"/>
      <c r="I236" s="70"/>
      <c r="J236" s="71"/>
      <c r="K236" s="72"/>
      <c r="L236" s="4"/>
      <c r="M236" s="4"/>
      <c r="N236" s="4"/>
      <c r="O236" s="4"/>
      <c r="P236" s="4"/>
      <c r="Q236" s="4"/>
    </row>
    <row r="237" customFormat="false" ht="18" hidden="false" customHeight="true" outlineLevel="0" collapsed="false">
      <c r="A237" s="63" t="str">
        <f aca="false">IF($B237="","","PM-"&amp;TEXT(ROW()-5,"0000"))</f>
        <v/>
      </c>
      <c r="B237" s="64"/>
      <c r="C237" s="65" t="str">
        <f aca="false">IF($B237="","",MONTH($B237))</f>
        <v/>
      </c>
      <c r="D237" s="66"/>
      <c r="E237" s="66"/>
      <c r="F237" s="66"/>
      <c r="G237" s="66"/>
      <c r="H237" s="66"/>
      <c r="I237" s="66"/>
      <c r="J237" s="67"/>
      <c r="K237" s="68"/>
      <c r="L237" s="4"/>
      <c r="M237" s="4"/>
      <c r="N237" s="4"/>
      <c r="O237" s="4"/>
      <c r="P237" s="4"/>
      <c r="Q237" s="4"/>
    </row>
    <row r="238" customFormat="false" ht="18" hidden="false" customHeight="true" outlineLevel="0" collapsed="false">
      <c r="A238" s="63" t="str">
        <f aca="false">IF($B238="","","PM-"&amp;TEXT(ROW()-5,"0000"))</f>
        <v/>
      </c>
      <c r="B238" s="69"/>
      <c r="C238" s="65" t="str">
        <f aca="false">IF($B238="","",MONTH($B238))</f>
        <v/>
      </c>
      <c r="D238" s="70"/>
      <c r="E238" s="70"/>
      <c r="F238" s="70"/>
      <c r="G238" s="70"/>
      <c r="H238" s="70"/>
      <c r="I238" s="70"/>
      <c r="J238" s="71"/>
      <c r="K238" s="72"/>
      <c r="L238" s="4"/>
      <c r="M238" s="4"/>
      <c r="N238" s="4"/>
      <c r="O238" s="4"/>
      <c r="P238" s="4"/>
      <c r="Q238" s="4"/>
    </row>
    <row r="239" customFormat="false" ht="18" hidden="false" customHeight="true" outlineLevel="0" collapsed="false">
      <c r="A239" s="63" t="str">
        <f aca="false">IF($B239="","","PM-"&amp;TEXT(ROW()-5,"0000"))</f>
        <v/>
      </c>
      <c r="B239" s="64"/>
      <c r="C239" s="65" t="str">
        <f aca="false">IF($B239="","",MONTH($B239))</f>
        <v/>
      </c>
      <c r="D239" s="66"/>
      <c r="E239" s="66"/>
      <c r="F239" s="66"/>
      <c r="G239" s="66"/>
      <c r="H239" s="66"/>
      <c r="I239" s="66"/>
      <c r="J239" s="67"/>
      <c r="K239" s="68"/>
      <c r="L239" s="4"/>
      <c r="M239" s="4"/>
      <c r="N239" s="4"/>
      <c r="O239" s="4"/>
      <c r="P239" s="4"/>
      <c r="Q239" s="4"/>
    </row>
    <row r="240" customFormat="false" ht="18" hidden="false" customHeight="true" outlineLevel="0" collapsed="false">
      <c r="A240" s="63" t="str">
        <f aca="false">IF($B240="","","PM-"&amp;TEXT(ROW()-5,"0000"))</f>
        <v/>
      </c>
      <c r="B240" s="69"/>
      <c r="C240" s="65" t="str">
        <f aca="false">IF($B240="","",MONTH($B240))</f>
        <v/>
      </c>
      <c r="D240" s="70"/>
      <c r="E240" s="70"/>
      <c r="F240" s="70"/>
      <c r="G240" s="70"/>
      <c r="H240" s="70"/>
      <c r="I240" s="70"/>
      <c r="J240" s="71"/>
      <c r="K240" s="72"/>
      <c r="L240" s="4"/>
      <c r="M240" s="4"/>
      <c r="N240" s="4"/>
      <c r="O240" s="4"/>
      <c r="P240" s="4"/>
      <c r="Q240" s="4"/>
    </row>
    <row r="241" customFormat="false" ht="18" hidden="false" customHeight="true" outlineLevel="0" collapsed="false">
      <c r="A241" s="63" t="str">
        <f aca="false">IF($B241="","","PM-"&amp;TEXT(ROW()-5,"0000"))</f>
        <v/>
      </c>
      <c r="B241" s="64"/>
      <c r="C241" s="65" t="str">
        <f aca="false">IF($B241="","",MONTH($B241))</f>
        <v/>
      </c>
      <c r="D241" s="66"/>
      <c r="E241" s="66"/>
      <c r="F241" s="66"/>
      <c r="G241" s="66"/>
      <c r="H241" s="66"/>
      <c r="I241" s="66"/>
      <c r="J241" s="67"/>
      <c r="K241" s="68"/>
      <c r="L241" s="4"/>
      <c r="M241" s="4"/>
      <c r="N241" s="4"/>
      <c r="O241" s="4"/>
      <c r="P241" s="4"/>
      <c r="Q241" s="4"/>
    </row>
    <row r="242" customFormat="false" ht="18" hidden="false" customHeight="true" outlineLevel="0" collapsed="false">
      <c r="A242" s="63" t="str">
        <f aca="false">IF($B242="","","PM-"&amp;TEXT(ROW()-5,"0000"))</f>
        <v/>
      </c>
      <c r="B242" s="69"/>
      <c r="C242" s="65" t="str">
        <f aca="false">IF($B242="","",MONTH($B242))</f>
        <v/>
      </c>
      <c r="D242" s="70"/>
      <c r="E242" s="70"/>
      <c r="F242" s="70"/>
      <c r="G242" s="70"/>
      <c r="H242" s="70"/>
      <c r="I242" s="70"/>
      <c r="J242" s="71"/>
      <c r="K242" s="72"/>
      <c r="L242" s="4"/>
      <c r="M242" s="4"/>
      <c r="N242" s="4"/>
      <c r="O242" s="4"/>
      <c r="P242" s="4"/>
      <c r="Q242" s="4"/>
    </row>
    <row r="243" customFormat="false" ht="18" hidden="false" customHeight="true" outlineLevel="0" collapsed="false">
      <c r="A243" s="63" t="str">
        <f aca="false">IF($B243="","","PM-"&amp;TEXT(ROW()-5,"0000"))</f>
        <v/>
      </c>
      <c r="B243" s="64"/>
      <c r="C243" s="65" t="str">
        <f aca="false">IF($B243="","",MONTH($B243))</f>
        <v/>
      </c>
      <c r="D243" s="66"/>
      <c r="E243" s="66"/>
      <c r="F243" s="66"/>
      <c r="G243" s="66"/>
      <c r="H243" s="66"/>
      <c r="I243" s="66"/>
      <c r="J243" s="67"/>
      <c r="K243" s="68"/>
      <c r="L243" s="4"/>
      <c r="M243" s="4"/>
      <c r="N243" s="4"/>
      <c r="O243" s="4"/>
      <c r="P243" s="4"/>
      <c r="Q243" s="4"/>
    </row>
    <row r="244" customFormat="false" ht="18" hidden="false" customHeight="true" outlineLevel="0" collapsed="false">
      <c r="A244" s="63" t="str">
        <f aca="false">IF($B244="","","PM-"&amp;TEXT(ROW()-5,"0000"))</f>
        <v/>
      </c>
      <c r="B244" s="69"/>
      <c r="C244" s="65" t="str">
        <f aca="false">IF($B244="","",MONTH($B244))</f>
        <v/>
      </c>
      <c r="D244" s="70"/>
      <c r="E244" s="70"/>
      <c r="F244" s="70"/>
      <c r="G244" s="70"/>
      <c r="H244" s="70"/>
      <c r="I244" s="70"/>
      <c r="J244" s="71"/>
      <c r="K244" s="72"/>
      <c r="L244" s="4"/>
      <c r="M244" s="4"/>
      <c r="N244" s="4"/>
      <c r="O244" s="4"/>
      <c r="P244" s="4"/>
      <c r="Q244" s="4"/>
    </row>
    <row r="245" customFormat="false" ht="18" hidden="false" customHeight="true" outlineLevel="0" collapsed="false">
      <c r="A245" s="63" t="str">
        <f aca="false">IF($B245="","","PM-"&amp;TEXT(ROW()-5,"0000"))</f>
        <v/>
      </c>
      <c r="B245" s="64"/>
      <c r="C245" s="65" t="str">
        <f aca="false">IF($B245="","",MONTH($B245))</f>
        <v/>
      </c>
      <c r="D245" s="66"/>
      <c r="E245" s="66"/>
      <c r="F245" s="66"/>
      <c r="G245" s="66"/>
      <c r="H245" s="66"/>
      <c r="I245" s="66"/>
      <c r="J245" s="67"/>
      <c r="K245" s="68"/>
      <c r="L245" s="4"/>
      <c r="M245" s="4"/>
      <c r="N245" s="4"/>
      <c r="O245" s="4"/>
      <c r="P245" s="4"/>
      <c r="Q245" s="4"/>
    </row>
    <row r="246" customFormat="false" ht="18" hidden="false" customHeight="true" outlineLevel="0" collapsed="false">
      <c r="A246" s="63" t="str">
        <f aca="false">IF($B246="","","PM-"&amp;TEXT(ROW()-5,"0000"))</f>
        <v/>
      </c>
      <c r="B246" s="69"/>
      <c r="C246" s="65" t="str">
        <f aca="false">IF($B246="","",MONTH($B246))</f>
        <v/>
      </c>
      <c r="D246" s="70"/>
      <c r="E246" s="70"/>
      <c r="F246" s="70"/>
      <c r="G246" s="70"/>
      <c r="H246" s="70"/>
      <c r="I246" s="70"/>
      <c r="J246" s="71"/>
      <c r="K246" s="72"/>
      <c r="L246" s="4"/>
      <c r="M246" s="4"/>
      <c r="N246" s="4"/>
      <c r="O246" s="4"/>
      <c r="P246" s="4"/>
      <c r="Q246" s="4"/>
    </row>
    <row r="247" customFormat="false" ht="18" hidden="false" customHeight="true" outlineLevel="0" collapsed="false">
      <c r="A247" s="63" t="str">
        <f aca="false">IF($B247="","","PM-"&amp;TEXT(ROW()-5,"0000"))</f>
        <v/>
      </c>
      <c r="B247" s="64"/>
      <c r="C247" s="65" t="str">
        <f aca="false">IF($B247="","",MONTH($B247))</f>
        <v/>
      </c>
      <c r="D247" s="66"/>
      <c r="E247" s="66"/>
      <c r="F247" s="66"/>
      <c r="G247" s="66"/>
      <c r="H247" s="66"/>
      <c r="I247" s="66"/>
      <c r="J247" s="67"/>
      <c r="K247" s="68"/>
      <c r="L247" s="4"/>
      <c r="M247" s="4"/>
      <c r="N247" s="4"/>
      <c r="O247" s="4"/>
      <c r="P247" s="4"/>
      <c r="Q247" s="4"/>
    </row>
    <row r="248" customFormat="false" ht="18" hidden="false" customHeight="true" outlineLevel="0" collapsed="false">
      <c r="A248" s="63" t="str">
        <f aca="false">IF($B248="","","PM-"&amp;TEXT(ROW()-5,"0000"))</f>
        <v/>
      </c>
      <c r="B248" s="69"/>
      <c r="C248" s="65" t="str">
        <f aca="false">IF($B248="","",MONTH($B248))</f>
        <v/>
      </c>
      <c r="D248" s="70"/>
      <c r="E248" s="70"/>
      <c r="F248" s="70"/>
      <c r="G248" s="70"/>
      <c r="H248" s="70"/>
      <c r="I248" s="70"/>
      <c r="J248" s="71"/>
      <c r="K248" s="72"/>
      <c r="L248" s="4"/>
      <c r="M248" s="4"/>
      <c r="N248" s="4"/>
      <c r="O248" s="4"/>
      <c r="P248" s="4"/>
      <c r="Q248" s="4"/>
    </row>
    <row r="249" customFormat="false" ht="18" hidden="false" customHeight="true" outlineLevel="0" collapsed="false">
      <c r="A249" s="63" t="str">
        <f aca="false">IF($B249="","","PM-"&amp;TEXT(ROW()-5,"0000"))</f>
        <v/>
      </c>
      <c r="B249" s="64"/>
      <c r="C249" s="65" t="str">
        <f aca="false">IF($B249="","",MONTH($B249))</f>
        <v/>
      </c>
      <c r="D249" s="66"/>
      <c r="E249" s="66"/>
      <c r="F249" s="66"/>
      <c r="G249" s="66"/>
      <c r="H249" s="66"/>
      <c r="I249" s="66"/>
      <c r="J249" s="67"/>
      <c r="K249" s="68"/>
      <c r="L249" s="4"/>
      <c r="M249" s="4"/>
      <c r="N249" s="4"/>
      <c r="O249" s="4"/>
      <c r="P249" s="4"/>
      <c r="Q249" s="4"/>
    </row>
    <row r="250" customFormat="false" ht="18" hidden="false" customHeight="true" outlineLevel="0" collapsed="false">
      <c r="A250" s="63" t="str">
        <f aca="false">IF($B250="","","PM-"&amp;TEXT(ROW()-5,"0000"))</f>
        <v/>
      </c>
      <c r="B250" s="69"/>
      <c r="C250" s="65" t="str">
        <f aca="false">IF($B250="","",MONTH($B250))</f>
        <v/>
      </c>
      <c r="D250" s="70"/>
      <c r="E250" s="70"/>
      <c r="F250" s="70"/>
      <c r="G250" s="70"/>
      <c r="H250" s="70"/>
      <c r="I250" s="70"/>
      <c r="J250" s="71"/>
      <c r="K250" s="72"/>
      <c r="L250" s="4"/>
      <c r="M250" s="4"/>
      <c r="N250" s="4"/>
      <c r="O250" s="4"/>
      <c r="P250" s="4"/>
      <c r="Q250" s="4"/>
    </row>
    <row r="251" customFormat="false" ht="18" hidden="false" customHeight="true" outlineLevel="0" collapsed="false">
      <c r="A251" s="63" t="str">
        <f aca="false">IF($B251="","","PM-"&amp;TEXT(ROW()-5,"0000"))</f>
        <v/>
      </c>
      <c r="B251" s="64"/>
      <c r="C251" s="65" t="str">
        <f aca="false">IF($B251="","",MONTH($B251))</f>
        <v/>
      </c>
      <c r="D251" s="66"/>
      <c r="E251" s="66"/>
      <c r="F251" s="66"/>
      <c r="G251" s="66"/>
      <c r="H251" s="66"/>
      <c r="I251" s="66"/>
      <c r="J251" s="67"/>
      <c r="K251" s="68"/>
      <c r="L251" s="4"/>
      <c r="M251" s="4"/>
      <c r="N251" s="4"/>
      <c r="O251" s="4"/>
      <c r="P251" s="4"/>
      <c r="Q251" s="4"/>
    </row>
    <row r="252" customFormat="false" ht="18" hidden="false" customHeight="true" outlineLevel="0" collapsed="false">
      <c r="A252" s="63" t="str">
        <f aca="false">IF($B252="","","PM-"&amp;TEXT(ROW()-5,"0000"))</f>
        <v/>
      </c>
      <c r="B252" s="69"/>
      <c r="C252" s="65" t="str">
        <f aca="false">IF($B252="","",MONTH($B252))</f>
        <v/>
      </c>
      <c r="D252" s="70"/>
      <c r="E252" s="70"/>
      <c r="F252" s="70"/>
      <c r="G252" s="70"/>
      <c r="H252" s="70"/>
      <c r="I252" s="70"/>
      <c r="J252" s="71"/>
      <c r="K252" s="72"/>
      <c r="L252" s="4"/>
      <c r="M252" s="4"/>
      <c r="N252" s="4"/>
      <c r="O252" s="4"/>
      <c r="P252" s="4"/>
      <c r="Q252" s="4"/>
    </row>
    <row r="253" customFormat="false" ht="18" hidden="false" customHeight="true" outlineLevel="0" collapsed="false">
      <c r="A253" s="63" t="str">
        <f aca="false">IF($B253="","","PM-"&amp;TEXT(ROW()-5,"0000"))</f>
        <v/>
      </c>
      <c r="B253" s="64"/>
      <c r="C253" s="65" t="str">
        <f aca="false">IF($B253="","",MONTH($B253))</f>
        <v/>
      </c>
      <c r="D253" s="66"/>
      <c r="E253" s="66"/>
      <c r="F253" s="66"/>
      <c r="G253" s="66"/>
      <c r="H253" s="66"/>
      <c r="I253" s="66"/>
      <c r="J253" s="67"/>
      <c r="K253" s="68"/>
      <c r="L253" s="4"/>
      <c r="M253" s="4"/>
      <c r="N253" s="4"/>
      <c r="O253" s="4"/>
      <c r="P253" s="4"/>
      <c r="Q253" s="4"/>
    </row>
    <row r="254" customFormat="false" ht="18" hidden="false" customHeight="true" outlineLevel="0" collapsed="false">
      <c r="A254" s="63" t="str">
        <f aca="false">IF($B254="","","PM-"&amp;TEXT(ROW()-5,"0000"))</f>
        <v/>
      </c>
      <c r="B254" s="69"/>
      <c r="C254" s="65" t="str">
        <f aca="false">IF($B254="","",MONTH($B254))</f>
        <v/>
      </c>
      <c r="D254" s="70"/>
      <c r="E254" s="70"/>
      <c r="F254" s="70"/>
      <c r="G254" s="70"/>
      <c r="H254" s="70"/>
      <c r="I254" s="70"/>
      <c r="J254" s="71"/>
      <c r="K254" s="72"/>
      <c r="L254" s="4"/>
      <c r="M254" s="4"/>
      <c r="N254" s="4"/>
      <c r="O254" s="4"/>
      <c r="P254" s="4"/>
      <c r="Q254" s="4"/>
    </row>
    <row r="255" customFormat="false" ht="18" hidden="false" customHeight="true" outlineLevel="0" collapsed="false">
      <c r="A255" s="63" t="str">
        <f aca="false">IF($B255="","","PM-"&amp;TEXT(ROW()-5,"0000"))</f>
        <v/>
      </c>
      <c r="B255" s="64"/>
      <c r="C255" s="65" t="str">
        <f aca="false">IF($B255="","",MONTH($B255))</f>
        <v/>
      </c>
      <c r="D255" s="66"/>
      <c r="E255" s="66"/>
      <c r="F255" s="66"/>
      <c r="G255" s="66"/>
      <c r="H255" s="66"/>
      <c r="I255" s="66"/>
      <c r="J255" s="67"/>
      <c r="K255" s="68"/>
      <c r="L255" s="4"/>
      <c r="M255" s="4"/>
      <c r="N255" s="4"/>
      <c r="O255" s="4"/>
      <c r="P255" s="4"/>
      <c r="Q255" s="4"/>
    </row>
    <row r="256" customFormat="false" ht="18" hidden="false" customHeight="true" outlineLevel="0" collapsed="false">
      <c r="A256" s="63" t="str">
        <f aca="false">IF($B256="","","PM-"&amp;TEXT(ROW()-5,"0000"))</f>
        <v/>
      </c>
      <c r="B256" s="69"/>
      <c r="C256" s="65" t="str">
        <f aca="false">IF($B256="","",MONTH($B256))</f>
        <v/>
      </c>
      <c r="D256" s="70"/>
      <c r="E256" s="70"/>
      <c r="F256" s="70"/>
      <c r="G256" s="70"/>
      <c r="H256" s="70"/>
      <c r="I256" s="70"/>
      <c r="J256" s="71"/>
      <c r="K256" s="72"/>
      <c r="L256" s="4"/>
      <c r="M256" s="4"/>
      <c r="N256" s="4"/>
      <c r="O256" s="4"/>
      <c r="P256" s="4"/>
      <c r="Q256" s="4"/>
    </row>
    <row r="257" customFormat="false" ht="18" hidden="false" customHeight="true" outlineLevel="0" collapsed="false">
      <c r="A257" s="63" t="str">
        <f aca="false">IF($B257="","","PM-"&amp;TEXT(ROW()-5,"0000"))</f>
        <v/>
      </c>
      <c r="B257" s="64"/>
      <c r="C257" s="65" t="str">
        <f aca="false">IF($B257="","",MONTH($B257))</f>
        <v/>
      </c>
      <c r="D257" s="66"/>
      <c r="E257" s="66"/>
      <c r="F257" s="66"/>
      <c r="G257" s="66"/>
      <c r="H257" s="66"/>
      <c r="I257" s="66"/>
      <c r="J257" s="67"/>
      <c r="K257" s="68"/>
      <c r="L257" s="4"/>
      <c r="M257" s="4"/>
      <c r="N257" s="4"/>
      <c r="O257" s="4"/>
      <c r="P257" s="4"/>
      <c r="Q257" s="4"/>
    </row>
    <row r="258" customFormat="false" ht="18" hidden="false" customHeight="true" outlineLevel="0" collapsed="false">
      <c r="A258" s="63" t="str">
        <f aca="false">IF($B258="","","PM-"&amp;TEXT(ROW()-5,"0000"))</f>
        <v/>
      </c>
      <c r="B258" s="69"/>
      <c r="C258" s="65" t="str">
        <f aca="false">IF($B258="","",MONTH($B258))</f>
        <v/>
      </c>
      <c r="D258" s="70"/>
      <c r="E258" s="70"/>
      <c r="F258" s="70"/>
      <c r="G258" s="70"/>
      <c r="H258" s="70"/>
      <c r="I258" s="70"/>
      <c r="J258" s="71"/>
      <c r="K258" s="72"/>
      <c r="L258" s="4"/>
      <c r="M258" s="4"/>
      <c r="N258" s="4"/>
      <c r="O258" s="4"/>
      <c r="P258" s="4"/>
      <c r="Q258" s="4"/>
    </row>
    <row r="259" customFormat="false" ht="18" hidden="false" customHeight="true" outlineLevel="0" collapsed="false">
      <c r="A259" s="63" t="str">
        <f aca="false">IF($B259="","","PM-"&amp;TEXT(ROW()-5,"0000"))</f>
        <v/>
      </c>
      <c r="B259" s="64"/>
      <c r="C259" s="65" t="str">
        <f aca="false">IF($B259="","",MONTH($B259))</f>
        <v/>
      </c>
      <c r="D259" s="66"/>
      <c r="E259" s="66"/>
      <c r="F259" s="66"/>
      <c r="G259" s="66"/>
      <c r="H259" s="66"/>
      <c r="I259" s="66"/>
      <c r="J259" s="67"/>
      <c r="K259" s="68"/>
      <c r="L259" s="4"/>
      <c r="M259" s="4"/>
      <c r="N259" s="4"/>
      <c r="O259" s="4"/>
      <c r="P259" s="4"/>
      <c r="Q259" s="4"/>
    </row>
    <row r="260" customFormat="false" ht="18" hidden="false" customHeight="true" outlineLevel="0" collapsed="false">
      <c r="A260" s="63" t="str">
        <f aca="false">IF($B260="","","PM-"&amp;TEXT(ROW()-5,"0000"))</f>
        <v/>
      </c>
      <c r="B260" s="69"/>
      <c r="C260" s="65" t="str">
        <f aca="false">IF($B260="","",MONTH($B260))</f>
        <v/>
      </c>
      <c r="D260" s="70"/>
      <c r="E260" s="70"/>
      <c r="F260" s="70"/>
      <c r="G260" s="70"/>
      <c r="H260" s="70"/>
      <c r="I260" s="70"/>
      <c r="J260" s="71"/>
      <c r="K260" s="72"/>
      <c r="L260" s="4"/>
      <c r="M260" s="4"/>
      <c r="N260" s="4"/>
      <c r="O260" s="4"/>
      <c r="P260" s="4"/>
      <c r="Q260" s="4"/>
    </row>
    <row r="261" customFormat="false" ht="18" hidden="false" customHeight="true" outlineLevel="0" collapsed="false">
      <c r="A261" s="63" t="str">
        <f aca="false">IF($B261="","","PM-"&amp;TEXT(ROW()-5,"0000"))</f>
        <v/>
      </c>
      <c r="B261" s="64"/>
      <c r="C261" s="65" t="str">
        <f aca="false">IF($B261="","",MONTH($B261))</f>
        <v/>
      </c>
      <c r="D261" s="66"/>
      <c r="E261" s="66"/>
      <c r="F261" s="66"/>
      <c r="G261" s="66"/>
      <c r="H261" s="66"/>
      <c r="I261" s="66"/>
      <c r="J261" s="67"/>
      <c r="K261" s="68"/>
      <c r="L261" s="4"/>
      <c r="M261" s="4"/>
      <c r="N261" s="4"/>
      <c r="O261" s="4"/>
      <c r="P261" s="4"/>
      <c r="Q261" s="4"/>
    </row>
    <row r="262" customFormat="false" ht="18" hidden="false" customHeight="true" outlineLevel="0" collapsed="false">
      <c r="A262" s="63" t="str">
        <f aca="false">IF($B262="","","PM-"&amp;TEXT(ROW()-5,"0000"))</f>
        <v/>
      </c>
      <c r="B262" s="69"/>
      <c r="C262" s="65" t="str">
        <f aca="false">IF($B262="","",MONTH($B262))</f>
        <v/>
      </c>
      <c r="D262" s="70"/>
      <c r="E262" s="70"/>
      <c r="F262" s="70"/>
      <c r="G262" s="70"/>
      <c r="H262" s="70"/>
      <c r="I262" s="70"/>
      <c r="J262" s="71"/>
      <c r="K262" s="72"/>
      <c r="L262" s="4"/>
      <c r="M262" s="4"/>
      <c r="N262" s="4"/>
      <c r="O262" s="4"/>
      <c r="P262" s="4"/>
      <c r="Q262" s="4"/>
    </row>
    <row r="263" customFormat="false" ht="18" hidden="false" customHeight="true" outlineLevel="0" collapsed="false">
      <c r="A263" s="63" t="str">
        <f aca="false">IF($B263="","","PM-"&amp;TEXT(ROW()-5,"0000"))</f>
        <v/>
      </c>
      <c r="B263" s="64"/>
      <c r="C263" s="65" t="str">
        <f aca="false">IF($B263="","",MONTH($B263))</f>
        <v/>
      </c>
      <c r="D263" s="66"/>
      <c r="E263" s="66"/>
      <c r="F263" s="66"/>
      <c r="G263" s="66"/>
      <c r="H263" s="66"/>
      <c r="I263" s="66"/>
      <c r="J263" s="67"/>
      <c r="K263" s="68"/>
      <c r="L263" s="4"/>
      <c r="M263" s="4"/>
      <c r="N263" s="4"/>
      <c r="O263" s="4"/>
      <c r="P263" s="4"/>
      <c r="Q263" s="4"/>
    </row>
    <row r="264" customFormat="false" ht="18" hidden="false" customHeight="true" outlineLevel="0" collapsed="false">
      <c r="A264" s="63" t="str">
        <f aca="false">IF($B264="","","PM-"&amp;TEXT(ROW()-5,"0000"))</f>
        <v/>
      </c>
      <c r="B264" s="69"/>
      <c r="C264" s="65" t="str">
        <f aca="false">IF($B264="","",MONTH($B264))</f>
        <v/>
      </c>
      <c r="D264" s="70"/>
      <c r="E264" s="70"/>
      <c r="F264" s="70"/>
      <c r="G264" s="70"/>
      <c r="H264" s="70"/>
      <c r="I264" s="70"/>
      <c r="J264" s="71"/>
      <c r="K264" s="72"/>
      <c r="L264" s="4"/>
      <c r="M264" s="4"/>
      <c r="N264" s="4"/>
      <c r="O264" s="4"/>
      <c r="P264" s="4"/>
      <c r="Q264" s="4"/>
    </row>
    <row r="265" customFormat="false" ht="18" hidden="false" customHeight="true" outlineLevel="0" collapsed="false">
      <c r="A265" s="63" t="str">
        <f aca="false">IF($B265="","","PM-"&amp;TEXT(ROW()-5,"0000"))</f>
        <v/>
      </c>
      <c r="B265" s="64"/>
      <c r="C265" s="65" t="str">
        <f aca="false">IF($B265="","",MONTH($B265))</f>
        <v/>
      </c>
      <c r="D265" s="66"/>
      <c r="E265" s="66"/>
      <c r="F265" s="66"/>
      <c r="G265" s="66"/>
      <c r="H265" s="66"/>
      <c r="I265" s="66"/>
      <c r="J265" s="67"/>
      <c r="K265" s="68"/>
      <c r="L265" s="4"/>
      <c r="M265" s="4"/>
      <c r="N265" s="4"/>
      <c r="O265" s="4"/>
      <c r="P265" s="4"/>
      <c r="Q265" s="4"/>
    </row>
    <row r="266" customFormat="false" ht="18" hidden="false" customHeight="true" outlineLevel="0" collapsed="false">
      <c r="A266" s="63" t="str">
        <f aca="false">IF($B266="","","PM-"&amp;TEXT(ROW()-5,"0000"))</f>
        <v/>
      </c>
      <c r="B266" s="69"/>
      <c r="C266" s="65" t="str">
        <f aca="false">IF($B266="","",MONTH($B266))</f>
        <v/>
      </c>
      <c r="D266" s="70"/>
      <c r="E266" s="70"/>
      <c r="F266" s="70"/>
      <c r="G266" s="70"/>
      <c r="H266" s="70"/>
      <c r="I266" s="70"/>
      <c r="J266" s="71"/>
      <c r="K266" s="72"/>
      <c r="L266" s="4"/>
      <c r="M266" s="4"/>
      <c r="N266" s="4"/>
      <c r="O266" s="4"/>
      <c r="P266" s="4"/>
      <c r="Q266" s="4"/>
    </row>
    <row r="267" customFormat="false" ht="18" hidden="false" customHeight="true" outlineLevel="0" collapsed="false">
      <c r="A267" s="63" t="str">
        <f aca="false">IF($B267="","","PM-"&amp;TEXT(ROW()-5,"0000"))</f>
        <v/>
      </c>
      <c r="B267" s="64"/>
      <c r="C267" s="65" t="str">
        <f aca="false">IF($B267="","",MONTH($B267))</f>
        <v/>
      </c>
      <c r="D267" s="66"/>
      <c r="E267" s="66"/>
      <c r="F267" s="66"/>
      <c r="G267" s="66"/>
      <c r="H267" s="66"/>
      <c r="I267" s="66"/>
      <c r="J267" s="67"/>
      <c r="K267" s="68"/>
      <c r="L267" s="4"/>
      <c r="M267" s="4"/>
      <c r="N267" s="4"/>
      <c r="O267" s="4"/>
      <c r="P267" s="4"/>
      <c r="Q267" s="4"/>
    </row>
    <row r="268" customFormat="false" ht="18" hidden="false" customHeight="true" outlineLevel="0" collapsed="false">
      <c r="A268" s="63" t="str">
        <f aca="false">IF($B268="","","PM-"&amp;TEXT(ROW()-5,"0000"))</f>
        <v/>
      </c>
      <c r="B268" s="69"/>
      <c r="C268" s="65" t="str">
        <f aca="false">IF($B268="","",MONTH($B268))</f>
        <v/>
      </c>
      <c r="D268" s="70"/>
      <c r="E268" s="70"/>
      <c r="F268" s="70"/>
      <c r="G268" s="70"/>
      <c r="H268" s="70"/>
      <c r="I268" s="70"/>
      <c r="J268" s="71"/>
      <c r="K268" s="72"/>
      <c r="L268" s="4"/>
      <c r="M268" s="4"/>
      <c r="N268" s="4"/>
      <c r="O268" s="4"/>
      <c r="P268" s="4"/>
      <c r="Q268" s="4"/>
    </row>
    <row r="269" customFormat="false" ht="18" hidden="false" customHeight="true" outlineLevel="0" collapsed="false">
      <c r="A269" s="63" t="str">
        <f aca="false">IF($B269="","","PM-"&amp;TEXT(ROW()-5,"0000"))</f>
        <v/>
      </c>
      <c r="B269" s="64"/>
      <c r="C269" s="65" t="str">
        <f aca="false">IF($B269="","",MONTH($B269))</f>
        <v/>
      </c>
      <c r="D269" s="66"/>
      <c r="E269" s="66"/>
      <c r="F269" s="66"/>
      <c r="G269" s="66"/>
      <c r="H269" s="66"/>
      <c r="I269" s="66"/>
      <c r="J269" s="67"/>
      <c r="K269" s="68"/>
      <c r="L269" s="4"/>
      <c r="M269" s="4"/>
      <c r="N269" s="4"/>
      <c r="O269" s="4"/>
      <c r="P269" s="4"/>
      <c r="Q269" s="4"/>
    </row>
    <row r="270" customFormat="false" ht="18" hidden="false" customHeight="true" outlineLevel="0" collapsed="false">
      <c r="A270" s="63" t="str">
        <f aca="false">IF($B270="","","PM-"&amp;TEXT(ROW()-5,"0000"))</f>
        <v/>
      </c>
      <c r="B270" s="69"/>
      <c r="C270" s="65" t="str">
        <f aca="false">IF($B270="","",MONTH($B270))</f>
        <v/>
      </c>
      <c r="D270" s="70"/>
      <c r="E270" s="70"/>
      <c r="F270" s="70"/>
      <c r="G270" s="70"/>
      <c r="H270" s="70"/>
      <c r="I270" s="70"/>
      <c r="J270" s="71"/>
      <c r="K270" s="72"/>
      <c r="L270" s="4"/>
      <c r="M270" s="4"/>
      <c r="N270" s="4"/>
      <c r="O270" s="4"/>
      <c r="P270" s="4"/>
      <c r="Q270" s="4"/>
    </row>
    <row r="271" customFormat="false" ht="18" hidden="false" customHeight="true" outlineLevel="0" collapsed="false">
      <c r="A271" s="63" t="str">
        <f aca="false">IF($B271="","","PM-"&amp;TEXT(ROW()-5,"0000"))</f>
        <v/>
      </c>
      <c r="B271" s="64"/>
      <c r="C271" s="65" t="str">
        <f aca="false">IF($B271="","",MONTH($B271))</f>
        <v/>
      </c>
      <c r="D271" s="66"/>
      <c r="E271" s="66"/>
      <c r="F271" s="66"/>
      <c r="G271" s="66"/>
      <c r="H271" s="66"/>
      <c r="I271" s="66"/>
      <c r="J271" s="67"/>
      <c r="K271" s="68"/>
      <c r="L271" s="4"/>
      <c r="M271" s="4"/>
      <c r="N271" s="4"/>
      <c r="O271" s="4"/>
      <c r="P271" s="4"/>
      <c r="Q271" s="4"/>
    </row>
    <row r="272" customFormat="false" ht="18" hidden="false" customHeight="true" outlineLevel="0" collapsed="false">
      <c r="A272" s="63" t="str">
        <f aca="false">IF($B272="","","PM-"&amp;TEXT(ROW()-5,"0000"))</f>
        <v/>
      </c>
      <c r="B272" s="69"/>
      <c r="C272" s="65" t="str">
        <f aca="false">IF($B272="","",MONTH($B272))</f>
        <v/>
      </c>
      <c r="D272" s="70"/>
      <c r="E272" s="70"/>
      <c r="F272" s="70"/>
      <c r="G272" s="70"/>
      <c r="H272" s="70"/>
      <c r="I272" s="70"/>
      <c r="J272" s="71"/>
      <c r="K272" s="72"/>
      <c r="L272" s="4"/>
      <c r="M272" s="4"/>
      <c r="N272" s="4"/>
      <c r="O272" s="4"/>
      <c r="P272" s="4"/>
      <c r="Q272" s="4"/>
    </row>
    <row r="273" customFormat="false" ht="18" hidden="false" customHeight="true" outlineLevel="0" collapsed="false">
      <c r="A273" s="63" t="str">
        <f aca="false">IF($B273="","","PM-"&amp;TEXT(ROW()-5,"0000"))</f>
        <v/>
      </c>
      <c r="B273" s="64"/>
      <c r="C273" s="65" t="str">
        <f aca="false">IF($B273="","",MONTH($B273))</f>
        <v/>
      </c>
      <c r="D273" s="66"/>
      <c r="E273" s="66"/>
      <c r="F273" s="66"/>
      <c r="G273" s="66"/>
      <c r="H273" s="66"/>
      <c r="I273" s="66"/>
      <c r="J273" s="67"/>
      <c r="K273" s="68"/>
      <c r="L273" s="4"/>
      <c r="M273" s="4"/>
      <c r="N273" s="4"/>
      <c r="O273" s="4"/>
      <c r="P273" s="4"/>
      <c r="Q273" s="4"/>
    </row>
    <row r="274" customFormat="false" ht="18" hidden="false" customHeight="true" outlineLevel="0" collapsed="false">
      <c r="A274" s="63" t="str">
        <f aca="false">IF($B274="","","PM-"&amp;TEXT(ROW()-5,"0000"))</f>
        <v/>
      </c>
      <c r="B274" s="69"/>
      <c r="C274" s="65" t="str">
        <f aca="false">IF($B274="","",MONTH($B274))</f>
        <v/>
      </c>
      <c r="D274" s="70"/>
      <c r="E274" s="70"/>
      <c r="F274" s="70"/>
      <c r="G274" s="70"/>
      <c r="H274" s="70"/>
      <c r="I274" s="70"/>
      <c r="J274" s="71"/>
      <c r="K274" s="72"/>
      <c r="L274" s="4"/>
      <c r="M274" s="4"/>
      <c r="N274" s="4"/>
      <c r="O274" s="4"/>
      <c r="P274" s="4"/>
      <c r="Q274" s="4"/>
    </row>
    <row r="275" customFormat="false" ht="18" hidden="false" customHeight="true" outlineLevel="0" collapsed="false">
      <c r="A275" s="63" t="str">
        <f aca="false">IF($B275="","","PM-"&amp;TEXT(ROW()-5,"0000"))</f>
        <v/>
      </c>
      <c r="B275" s="64"/>
      <c r="C275" s="65" t="str">
        <f aca="false">IF($B275="","",MONTH($B275))</f>
        <v/>
      </c>
      <c r="D275" s="66"/>
      <c r="E275" s="66"/>
      <c r="F275" s="66"/>
      <c r="G275" s="66"/>
      <c r="H275" s="66"/>
      <c r="I275" s="66"/>
      <c r="J275" s="67"/>
      <c r="K275" s="68"/>
      <c r="L275" s="4"/>
      <c r="M275" s="4"/>
      <c r="N275" s="4"/>
      <c r="O275" s="4"/>
      <c r="P275" s="4"/>
      <c r="Q275" s="4"/>
    </row>
    <row r="276" customFormat="false" ht="18" hidden="false" customHeight="true" outlineLevel="0" collapsed="false">
      <c r="A276" s="63" t="str">
        <f aca="false">IF($B276="","","PM-"&amp;TEXT(ROW()-5,"0000"))</f>
        <v/>
      </c>
      <c r="B276" s="69"/>
      <c r="C276" s="65" t="str">
        <f aca="false">IF($B276="","",MONTH($B276))</f>
        <v/>
      </c>
      <c r="D276" s="70"/>
      <c r="E276" s="70"/>
      <c r="F276" s="70"/>
      <c r="G276" s="70"/>
      <c r="H276" s="70"/>
      <c r="I276" s="70"/>
      <c r="J276" s="71"/>
      <c r="K276" s="72"/>
      <c r="L276" s="4"/>
      <c r="M276" s="4"/>
      <c r="N276" s="4"/>
      <c r="O276" s="4"/>
      <c r="P276" s="4"/>
      <c r="Q276" s="4"/>
    </row>
    <row r="277" customFormat="false" ht="18" hidden="false" customHeight="true" outlineLevel="0" collapsed="false">
      <c r="A277" s="63" t="str">
        <f aca="false">IF($B277="","","PM-"&amp;TEXT(ROW()-5,"0000"))</f>
        <v/>
      </c>
      <c r="B277" s="64"/>
      <c r="C277" s="65" t="str">
        <f aca="false">IF($B277="","",MONTH($B277))</f>
        <v/>
      </c>
      <c r="D277" s="66"/>
      <c r="E277" s="66"/>
      <c r="F277" s="66"/>
      <c r="G277" s="66"/>
      <c r="H277" s="66"/>
      <c r="I277" s="66"/>
      <c r="J277" s="67"/>
      <c r="K277" s="68"/>
      <c r="L277" s="4"/>
      <c r="M277" s="4"/>
      <c r="N277" s="4"/>
      <c r="O277" s="4"/>
      <c r="P277" s="4"/>
      <c r="Q277" s="4"/>
    </row>
    <row r="278" customFormat="false" ht="18" hidden="false" customHeight="true" outlineLevel="0" collapsed="false">
      <c r="A278" s="63" t="str">
        <f aca="false">IF($B278="","","PM-"&amp;TEXT(ROW()-5,"0000"))</f>
        <v/>
      </c>
      <c r="B278" s="69"/>
      <c r="C278" s="65" t="str">
        <f aca="false">IF($B278="","",MONTH($B278))</f>
        <v/>
      </c>
      <c r="D278" s="70"/>
      <c r="E278" s="70"/>
      <c r="F278" s="70"/>
      <c r="G278" s="70"/>
      <c r="H278" s="70"/>
      <c r="I278" s="70"/>
      <c r="J278" s="71"/>
      <c r="K278" s="72"/>
      <c r="L278" s="4"/>
      <c r="M278" s="4"/>
      <c r="N278" s="4"/>
      <c r="O278" s="4"/>
      <c r="P278" s="4"/>
      <c r="Q278" s="4"/>
    </row>
    <row r="279" customFormat="false" ht="18" hidden="false" customHeight="true" outlineLevel="0" collapsed="false">
      <c r="A279" s="63" t="str">
        <f aca="false">IF($B279="","","PM-"&amp;TEXT(ROW()-5,"0000"))</f>
        <v/>
      </c>
      <c r="B279" s="64"/>
      <c r="C279" s="65" t="str">
        <f aca="false">IF($B279="","",MONTH($B279))</f>
        <v/>
      </c>
      <c r="D279" s="66"/>
      <c r="E279" s="66"/>
      <c r="F279" s="66"/>
      <c r="G279" s="66"/>
      <c r="H279" s="66"/>
      <c r="I279" s="66"/>
      <c r="J279" s="67"/>
      <c r="K279" s="68"/>
      <c r="L279" s="4"/>
      <c r="M279" s="4"/>
      <c r="N279" s="4"/>
      <c r="O279" s="4"/>
      <c r="P279" s="4"/>
      <c r="Q279" s="4"/>
    </row>
    <row r="280" customFormat="false" ht="18" hidden="false" customHeight="true" outlineLevel="0" collapsed="false">
      <c r="A280" s="63" t="str">
        <f aca="false">IF($B280="","","PM-"&amp;TEXT(ROW()-5,"0000"))</f>
        <v/>
      </c>
      <c r="B280" s="69"/>
      <c r="C280" s="65" t="str">
        <f aca="false">IF($B280="","",MONTH($B280))</f>
        <v/>
      </c>
      <c r="D280" s="70"/>
      <c r="E280" s="70"/>
      <c r="F280" s="70"/>
      <c r="G280" s="70"/>
      <c r="H280" s="70"/>
      <c r="I280" s="70"/>
      <c r="J280" s="71"/>
      <c r="K280" s="72"/>
      <c r="L280" s="4"/>
      <c r="M280" s="4"/>
      <c r="N280" s="4"/>
      <c r="O280" s="4"/>
      <c r="P280" s="4"/>
      <c r="Q280" s="4"/>
    </row>
    <row r="281" customFormat="false" ht="18" hidden="false" customHeight="true" outlineLevel="0" collapsed="false">
      <c r="A281" s="63" t="str">
        <f aca="false">IF($B281="","","PM-"&amp;TEXT(ROW()-5,"0000"))</f>
        <v/>
      </c>
      <c r="B281" s="64"/>
      <c r="C281" s="65" t="str">
        <f aca="false">IF($B281="","",MONTH($B281))</f>
        <v/>
      </c>
      <c r="D281" s="66"/>
      <c r="E281" s="66"/>
      <c r="F281" s="66"/>
      <c r="G281" s="66"/>
      <c r="H281" s="66"/>
      <c r="I281" s="66"/>
      <c r="J281" s="67"/>
      <c r="K281" s="68"/>
      <c r="L281" s="4"/>
      <c r="M281" s="4"/>
      <c r="N281" s="4"/>
      <c r="O281" s="4"/>
      <c r="P281" s="4"/>
      <c r="Q281" s="4"/>
    </row>
    <row r="282" customFormat="false" ht="18" hidden="false" customHeight="true" outlineLevel="0" collapsed="false">
      <c r="A282" s="63" t="str">
        <f aca="false">IF($B282="","","PM-"&amp;TEXT(ROW()-5,"0000"))</f>
        <v/>
      </c>
      <c r="B282" s="69"/>
      <c r="C282" s="65" t="str">
        <f aca="false">IF($B282="","",MONTH($B282))</f>
        <v/>
      </c>
      <c r="D282" s="70"/>
      <c r="E282" s="70"/>
      <c r="F282" s="70"/>
      <c r="G282" s="70"/>
      <c r="H282" s="70"/>
      <c r="I282" s="70"/>
      <c r="J282" s="71"/>
      <c r="K282" s="72"/>
      <c r="L282" s="4"/>
      <c r="M282" s="4"/>
      <c r="N282" s="4"/>
      <c r="O282" s="4"/>
      <c r="P282" s="4"/>
      <c r="Q282" s="4"/>
    </row>
    <row r="283" customFormat="false" ht="18" hidden="false" customHeight="true" outlineLevel="0" collapsed="false">
      <c r="A283" s="63" t="str">
        <f aca="false">IF($B283="","","PM-"&amp;TEXT(ROW()-5,"0000"))</f>
        <v/>
      </c>
      <c r="B283" s="64"/>
      <c r="C283" s="65" t="str">
        <f aca="false">IF($B283="","",MONTH($B283))</f>
        <v/>
      </c>
      <c r="D283" s="66"/>
      <c r="E283" s="66"/>
      <c r="F283" s="66"/>
      <c r="G283" s="66"/>
      <c r="H283" s="66"/>
      <c r="I283" s="66"/>
      <c r="J283" s="67"/>
      <c r="K283" s="68"/>
      <c r="L283" s="4"/>
      <c r="M283" s="4"/>
      <c r="N283" s="4"/>
      <c r="O283" s="4"/>
      <c r="P283" s="4"/>
      <c r="Q283" s="4"/>
    </row>
    <row r="284" customFormat="false" ht="18" hidden="false" customHeight="true" outlineLevel="0" collapsed="false">
      <c r="A284" s="63" t="str">
        <f aca="false">IF($B284="","","PM-"&amp;TEXT(ROW()-5,"0000"))</f>
        <v/>
      </c>
      <c r="B284" s="69"/>
      <c r="C284" s="65" t="str">
        <f aca="false">IF($B284="","",MONTH($B284))</f>
        <v/>
      </c>
      <c r="D284" s="70"/>
      <c r="E284" s="70"/>
      <c r="F284" s="70"/>
      <c r="G284" s="70"/>
      <c r="H284" s="70"/>
      <c r="I284" s="70"/>
      <c r="J284" s="71"/>
      <c r="K284" s="72"/>
      <c r="L284" s="4"/>
      <c r="M284" s="4"/>
      <c r="N284" s="4"/>
      <c r="O284" s="4"/>
      <c r="P284" s="4"/>
      <c r="Q284" s="4"/>
    </row>
    <row r="285" customFormat="false" ht="18" hidden="false" customHeight="true" outlineLevel="0" collapsed="false">
      <c r="A285" s="63" t="str">
        <f aca="false">IF($B285="","","PM-"&amp;TEXT(ROW()-5,"0000"))</f>
        <v/>
      </c>
      <c r="B285" s="64"/>
      <c r="C285" s="65" t="str">
        <f aca="false">IF($B285="","",MONTH($B285))</f>
        <v/>
      </c>
      <c r="D285" s="66"/>
      <c r="E285" s="66"/>
      <c r="F285" s="66"/>
      <c r="G285" s="66"/>
      <c r="H285" s="66"/>
      <c r="I285" s="66"/>
      <c r="J285" s="67"/>
      <c r="K285" s="68"/>
      <c r="L285" s="4"/>
      <c r="M285" s="4"/>
      <c r="N285" s="4"/>
      <c r="O285" s="4"/>
      <c r="P285" s="4"/>
      <c r="Q285" s="4"/>
    </row>
    <row r="286" customFormat="false" ht="18" hidden="false" customHeight="true" outlineLevel="0" collapsed="false">
      <c r="A286" s="63" t="str">
        <f aca="false">IF($B286="","","PM-"&amp;TEXT(ROW()-5,"0000"))</f>
        <v/>
      </c>
      <c r="B286" s="69"/>
      <c r="C286" s="65" t="str">
        <f aca="false">IF($B286="","",MONTH($B286))</f>
        <v/>
      </c>
      <c r="D286" s="70"/>
      <c r="E286" s="70"/>
      <c r="F286" s="70"/>
      <c r="G286" s="70"/>
      <c r="H286" s="70"/>
      <c r="I286" s="70"/>
      <c r="J286" s="71"/>
      <c r="K286" s="72"/>
      <c r="L286" s="4"/>
      <c r="M286" s="4"/>
      <c r="N286" s="4"/>
      <c r="O286" s="4"/>
      <c r="P286" s="4"/>
      <c r="Q286" s="4"/>
    </row>
    <row r="287" customFormat="false" ht="18" hidden="false" customHeight="true" outlineLevel="0" collapsed="false">
      <c r="A287" s="63" t="str">
        <f aca="false">IF($B287="","","PM-"&amp;TEXT(ROW()-5,"0000"))</f>
        <v/>
      </c>
      <c r="B287" s="64"/>
      <c r="C287" s="65" t="str">
        <f aca="false">IF($B287="","",MONTH($B287))</f>
        <v/>
      </c>
      <c r="D287" s="66"/>
      <c r="E287" s="66"/>
      <c r="F287" s="66"/>
      <c r="G287" s="66"/>
      <c r="H287" s="66"/>
      <c r="I287" s="66"/>
      <c r="J287" s="67"/>
      <c r="K287" s="68"/>
      <c r="L287" s="4"/>
      <c r="M287" s="4"/>
      <c r="N287" s="4"/>
      <c r="O287" s="4"/>
      <c r="P287" s="4"/>
      <c r="Q287" s="4"/>
    </row>
    <row r="288" customFormat="false" ht="18" hidden="false" customHeight="true" outlineLevel="0" collapsed="false">
      <c r="A288" s="63" t="str">
        <f aca="false">IF($B288="","","PM-"&amp;TEXT(ROW()-5,"0000"))</f>
        <v/>
      </c>
      <c r="B288" s="69"/>
      <c r="C288" s="65" t="str">
        <f aca="false">IF($B288="","",MONTH($B288))</f>
        <v/>
      </c>
      <c r="D288" s="70"/>
      <c r="E288" s="70"/>
      <c r="F288" s="70"/>
      <c r="G288" s="70"/>
      <c r="H288" s="70"/>
      <c r="I288" s="70"/>
      <c r="J288" s="71"/>
      <c r="K288" s="72"/>
      <c r="L288" s="4"/>
      <c r="M288" s="4"/>
      <c r="N288" s="4"/>
      <c r="O288" s="4"/>
      <c r="P288" s="4"/>
      <c r="Q288" s="4"/>
    </row>
    <row r="289" customFormat="false" ht="18" hidden="false" customHeight="true" outlineLevel="0" collapsed="false">
      <c r="A289" s="63" t="str">
        <f aca="false">IF($B289="","","PM-"&amp;TEXT(ROW()-5,"0000"))</f>
        <v/>
      </c>
      <c r="B289" s="64"/>
      <c r="C289" s="65" t="str">
        <f aca="false">IF($B289="","",MONTH($B289))</f>
        <v/>
      </c>
      <c r="D289" s="66"/>
      <c r="E289" s="66"/>
      <c r="F289" s="66"/>
      <c r="G289" s="66"/>
      <c r="H289" s="66"/>
      <c r="I289" s="66"/>
      <c r="J289" s="67"/>
      <c r="K289" s="68"/>
      <c r="L289" s="4"/>
      <c r="M289" s="4"/>
      <c r="N289" s="4"/>
      <c r="O289" s="4"/>
      <c r="P289" s="4"/>
      <c r="Q289" s="4"/>
    </row>
    <row r="290" customFormat="false" ht="18" hidden="false" customHeight="true" outlineLevel="0" collapsed="false">
      <c r="A290" s="63" t="str">
        <f aca="false">IF($B290="","","PM-"&amp;TEXT(ROW()-5,"0000"))</f>
        <v/>
      </c>
      <c r="B290" s="69"/>
      <c r="C290" s="65" t="str">
        <f aca="false">IF($B290="","",MONTH($B290))</f>
        <v/>
      </c>
      <c r="D290" s="70"/>
      <c r="E290" s="70"/>
      <c r="F290" s="70"/>
      <c r="G290" s="70"/>
      <c r="H290" s="70"/>
      <c r="I290" s="70"/>
      <c r="J290" s="71"/>
      <c r="K290" s="72"/>
      <c r="L290" s="4"/>
      <c r="M290" s="4"/>
      <c r="N290" s="4"/>
      <c r="O290" s="4"/>
      <c r="P290" s="4"/>
      <c r="Q290" s="4"/>
    </row>
    <row r="291" customFormat="false" ht="18" hidden="false" customHeight="true" outlineLevel="0" collapsed="false">
      <c r="A291" s="63" t="str">
        <f aca="false">IF($B291="","","PM-"&amp;TEXT(ROW()-5,"0000"))</f>
        <v/>
      </c>
      <c r="B291" s="64"/>
      <c r="C291" s="65" t="str">
        <f aca="false">IF($B291="","",MONTH($B291))</f>
        <v/>
      </c>
      <c r="D291" s="66"/>
      <c r="E291" s="66"/>
      <c r="F291" s="66"/>
      <c r="G291" s="66"/>
      <c r="H291" s="66"/>
      <c r="I291" s="66"/>
      <c r="J291" s="67"/>
      <c r="K291" s="68"/>
      <c r="L291" s="4"/>
      <c r="M291" s="4"/>
      <c r="N291" s="4"/>
      <c r="O291" s="4"/>
      <c r="P291" s="4"/>
      <c r="Q291" s="4"/>
    </row>
    <row r="292" customFormat="false" ht="18" hidden="false" customHeight="true" outlineLevel="0" collapsed="false">
      <c r="A292" s="63" t="str">
        <f aca="false">IF($B292="","","PM-"&amp;TEXT(ROW()-5,"0000"))</f>
        <v/>
      </c>
      <c r="B292" s="69"/>
      <c r="C292" s="65" t="str">
        <f aca="false">IF($B292="","",MONTH($B292))</f>
        <v/>
      </c>
      <c r="D292" s="70"/>
      <c r="E292" s="70"/>
      <c r="F292" s="70"/>
      <c r="G292" s="70"/>
      <c r="H292" s="70"/>
      <c r="I292" s="70"/>
      <c r="J292" s="71"/>
      <c r="K292" s="72"/>
      <c r="L292" s="4"/>
      <c r="M292" s="4"/>
      <c r="N292" s="4"/>
      <c r="O292" s="4"/>
      <c r="P292" s="4"/>
      <c r="Q292" s="4"/>
    </row>
    <row r="293" customFormat="false" ht="18" hidden="false" customHeight="true" outlineLevel="0" collapsed="false">
      <c r="A293" s="63" t="str">
        <f aca="false">IF($B293="","","PM-"&amp;TEXT(ROW()-5,"0000"))</f>
        <v/>
      </c>
      <c r="B293" s="64"/>
      <c r="C293" s="65" t="str">
        <f aca="false">IF($B293="","",MONTH($B293))</f>
        <v/>
      </c>
      <c r="D293" s="66"/>
      <c r="E293" s="66"/>
      <c r="F293" s="66"/>
      <c r="G293" s="66"/>
      <c r="H293" s="66"/>
      <c r="I293" s="66"/>
      <c r="J293" s="67"/>
      <c r="K293" s="68"/>
      <c r="L293" s="4"/>
      <c r="M293" s="4"/>
      <c r="N293" s="4"/>
      <c r="O293" s="4"/>
      <c r="P293" s="4"/>
      <c r="Q293" s="4"/>
    </row>
    <row r="294" customFormat="false" ht="18" hidden="false" customHeight="true" outlineLevel="0" collapsed="false">
      <c r="A294" s="63" t="str">
        <f aca="false">IF($B294="","","PM-"&amp;TEXT(ROW()-5,"0000"))</f>
        <v/>
      </c>
      <c r="B294" s="69"/>
      <c r="C294" s="65" t="str">
        <f aca="false">IF($B294="","",MONTH($B294))</f>
        <v/>
      </c>
      <c r="D294" s="70"/>
      <c r="E294" s="70"/>
      <c r="F294" s="70"/>
      <c r="G294" s="70"/>
      <c r="H294" s="70"/>
      <c r="I294" s="70"/>
      <c r="J294" s="71"/>
      <c r="K294" s="72"/>
      <c r="L294" s="4"/>
      <c r="M294" s="4"/>
      <c r="N294" s="4"/>
      <c r="O294" s="4"/>
      <c r="P294" s="4"/>
      <c r="Q294" s="4"/>
    </row>
    <row r="295" customFormat="false" ht="18" hidden="false" customHeight="true" outlineLevel="0" collapsed="false">
      <c r="A295" s="63" t="str">
        <f aca="false">IF($B295="","","PM-"&amp;TEXT(ROW()-5,"0000"))</f>
        <v/>
      </c>
      <c r="B295" s="64"/>
      <c r="C295" s="65" t="str">
        <f aca="false">IF($B295="","",MONTH($B295))</f>
        <v/>
      </c>
      <c r="D295" s="66"/>
      <c r="E295" s="66"/>
      <c r="F295" s="66"/>
      <c r="G295" s="66"/>
      <c r="H295" s="66"/>
      <c r="I295" s="66"/>
      <c r="J295" s="67"/>
      <c r="K295" s="68"/>
      <c r="L295" s="4"/>
      <c r="M295" s="4"/>
      <c r="N295" s="4"/>
      <c r="O295" s="4"/>
      <c r="P295" s="4"/>
      <c r="Q295" s="4"/>
    </row>
    <row r="296" customFormat="false" ht="18" hidden="false" customHeight="true" outlineLevel="0" collapsed="false">
      <c r="A296" s="63" t="str">
        <f aca="false">IF($B296="","","PM-"&amp;TEXT(ROW()-5,"0000"))</f>
        <v/>
      </c>
      <c r="B296" s="69"/>
      <c r="C296" s="65" t="str">
        <f aca="false">IF($B296="","",MONTH($B296))</f>
        <v/>
      </c>
      <c r="D296" s="70"/>
      <c r="E296" s="70"/>
      <c r="F296" s="70"/>
      <c r="G296" s="70"/>
      <c r="H296" s="70"/>
      <c r="I296" s="70"/>
      <c r="J296" s="71"/>
      <c r="K296" s="72"/>
      <c r="L296" s="4"/>
      <c r="M296" s="4"/>
      <c r="N296" s="4"/>
      <c r="O296" s="4"/>
      <c r="P296" s="4"/>
      <c r="Q296" s="4"/>
    </row>
    <row r="297" customFormat="false" ht="18" hidden="false" customHeight="true" outlineLevel="0" collapsed="false">
      <c r="A297" s="63" t="str">
        <f aca="false">IF($B297="","","PM-"&amp;TEXT(ROW()-5,"0000"))</f>
        <v/>
      </c>
      <c r="B297" s="64"/>
      <c r="C297" s="65" t="str">
        <f aca="false">IF($B297="","",MONTH($B297))</f>
        <v/>
      </c>
      <c r="D297" s="66"/>
      <c r="E297" s="66"/>
      <c r="F297" s="66"/>
      <c r="G297" s="66"/>
      <c r="H297" s="66"/>
      <c r="I297" s="66"/>
      <c r="J297" s="67"/>
      <c r="K297" s="68"/>
      <c r="L297" s="4"/>
      <c r="M297" s="4"/>
      <c r="N297" s="4"/>
      <c r="O297" s="4"/>
      <c r="P297" s="4"/>
      <c r="Q297" s="4"/>
    </row>
    <row r="298" customFormat="false" ht="18" hidden="false" customHeight="true" outlineLevel="0" collapsed="false">
      <c r="A298" s="63" t="str">
        <f aca="false">IF($B298="","","PM-"&amp;TEXT(ROW()-5,"0000"))</f>
        <v/>
      </c>
      <c r="B298" s="69"/>
      <c r="C298" s="65" t="str">
        <f aca="false">IF($B298="","",MONTH($B298))</f>
        <v/>
      </c>
      <c r="D298" s="70"/>
      <c r="E298" s="70"/>
      <c r="F298" s="70"/>
      <c r="G298" s="70"/>
      <c r="H298" s="70"/>
      <c r="I298" s="70"/>
      <c r="J298" s="71"/>
      <c r="K298" s="72"/>
      <c r="L298" s="4"/>
      <c r="M298" s="4"/>
      <c r="N298" s="4"/>
      <c r="O298" s="4"/>
      <c r="P298" s="4"/>
      <c r="Q298" s="4"/>
    </row>
    <row r="299" customFormat="false" ht="18" hidden="false" customHeight="true" outlineLevel="0" collapsed="false">
      <c r="A299" s="63" t="str">
        <f aca="false">IF($B299="","","PM-"&amp;TEXT(ROW()-5,"0000"))</f>
        <v/>
      </c>
      <c r="B299" s="64"/>
      <c r="C299" s="65" t="str">
        <f aca="false">IF($B299="","",MONTH($B299))</f>
        <v/>
      </c>
      <c r="D299" s="66"/>
      <c r="E299" s="66"/>
      <c r="F299" s="66"/>
      <c r="G299" s="66"/>
      <c r="H299" s="66"/>
      <c r="I299" s="66"/>
      <c r="J299" s="67"/>
      <c r="K299" s="68"/>
      <c r="L299" s="4"/>
      <c r="M299" s="4"/>
      <c r="N299" s="4"/>
      <c r="O299" s="4"/>
      <c r="P299" s="4"/>
      <c r="Q299" s="4"/>
    </row>
    <row r="300" customFormat="false" ht="18" hidden="false" customHeight="true" outlineLevel="0" collapsed="false">
      <c r="A300" s="63" t="str">
        <f aca="false">IF($B300="","","PM-"&amp;TEXT(ROW()-5,"0000"))</f>
        <v/>
      </c>
      <c r="B300" s="69"/>
      <c r="C300" s="65" t="str">
        <f aca="false">IF($B300="","",MONTH($B300))</f>
        <v/>
      </c>
      <c r="D300" s="70"/>
      <c r="E300" s="70"/>
      <c r="F300" s="70"/>
      <c r="G300" s="70"/>
      <c r="H300" s="70"/>
      <c r="I300" s="70"/>
      <c r="J300" s="71"/>
      <c r="K300" s="72"/>
      <c r="L300" s="4"/>
      <c r="M300" s="4"/>
      <c r="N300" s="4"/>
      <c r="O300" s="4"/>
      <c r="P300" s="4"/>
      <c r="Q300" s="4"/>
    </row>
    <row r="301" customFormat="false" ht="18" hidden="false" customHeight="true" outlineLevel="0" collapsed="false">
      <c r="A301" s="63" t="str">
        <f aca="false">IF($B301="","","PM-"&amp;TEXT(ROW()-5,"0000"))</f>
        <v/>
      </c>
      <c r="B301" s="64"/>
      <c r="C301" s="65" t="str">
        <f aca="false">IF($B301="","",MONTH($B301))</f>
        <v/>
      </c>
      <c r="D301" s="66"/>
      <c r="E301" s="66"/>
      <c r="F301" s="66"/>
      <c r="G301" s="66"/>
      <c r="H301" s="66"/>
      <c r="I301" s="66"/>
      <c r="J301" s="67"/>
      <c r="K301" s="68"/>
      <c r="L301" s="4"/>
      <c r="M301" s="4"/>
      <c r="N301" s="4"/>
      <c r="O301" s="4"/>
      <c r="P301" s="4"/>
      <c r="Q301" s="4"/>
    </row>
    <row r="302" customFormat="false" ht="18" hidden="false" customHeight="true" outlineLevel="0" collapsed="false">
      <c r="A302" s="63" t="str">
        <f aca="false">IF($B302="","","PM-"&amp;TEXT(ROW()-5,"0000"))</f>
        <v/>
      </c>
      <c r="B302" s="69"/>
      <c r="C302" s="65" t="str">
        <f aca="false">IF($B302="","",MONTH($B302))</f>
        <v/>
      </c>
      <c r="D302" s="70"/>
      <c r="E302" s="70"/>
      <c r="F302" s="70"/>
      <c r="G302" s="70"/>
      <c r="H302" s="70"/>
      <c r="I302" s="70"/>
      <c r="J302" s="71"/>
      <c r="K302" s="72"/>
      <c r="L302" s="4"/>
      <c r="M302" s="4"/>
      <c r="N302" s="4"/>
      <c r="O302" s="4"/>
      <c r="P302" s="4"/>
      <c r="Q302" s="4"/>
    </row>
    <row r="303" customFormat="false" ht="18" hidden="false" customHeight="true" outlineLevel="0" collapsed="false">
      <c r="A303" s="63" t="str">
        <f aca="false">IF($B303="","","PM-"&amp;TEXT(ROW()-5,"0000"))</f>
        <v/>
      </c>
      <c r="B303" s="64"/>
      <c r="C303" s="65" t="str">
        <f aca="false">IF($B303="","",MONTH($B303))</f>
        <v/>
      </c>
      <c r="D303" s="66"/>
      <c r="E303" s="66"/>
      <c r="F303" s="66"/>
      <c r="G303" s="66"/>
      <c r="H303" s="66"/>
      <c r="I303" s="66"/>
      <c r="J303" s="67"/>
      <c r="K303" s="68"/>
      <c r="L303" s="4"/>
      <c r="M303" s="4"/>
      <c r="N303" s="4"/>
      <c r="O303" s="4"/>
      <c r="P303" s="4"/>
      <c r="Q303" s="4"/>
    </row>
    <row r="304" customFormat="false" ht="18" hidden="false" customHeight="true" outlineLevel="0" collapsed="false">
      <c r="A304" s="63" t="str">
        <f aca="false">IF($B304="","","PM-"&amp;TEXT(ROW()-5,"0000"))</f>
        <v/>
      </c>
      <c r="B304" s="69"/>
      <c r="C304" s="65" t="str">
        <f aca="false">IF($B304="","",MONTH($B304))</f>
        <v/>
      </c>
      <c r="D304" s="70"/>
      <c r="E304" s="70"/>
      <c r="F304" s="70"/>
      <c r="G304" s="70"/>
      <c r="H304" s="70"/>
      <c r="I304" s="70"/>
      <c r="J304" s="71"/>
      <c r="K304" s="72"/>
      <c r="L304" s="4"/>
      <c r="M304" s="4"/>
      <c r="N304" s="4"/>
      <c r="O304" s="4"/>
      <c r="P304" s="4"/>
      <c r="Q304" s="4"/>
    </row>
    <row r="305" customFormat="false" ht="18" hidden="false" customHeight="true" outlineLevel="0" collapsed="false">
      <c r="A305" s="63" t="str">
        <f aca="false">IF($B305="","","PM-"&amp;TEXT(ROW()-5,"0000"))</f>
        <v/>
      </c>
      <c r="B305" s="64"/>
      <c r="C305" s="65" t="str">
        <f aca="false">IF($B305="","",MONTH($B305))</f>
        <v/>
      </c>
      <c r="D305" s="66"/>
      <c r="E305" s="66"/>
      <c r="F305" s="66"/>
      <c r="G305" s="66"/>
      <c r="H305" s="66"/>
      <c r="I305" s="66"/>
      <c r="J305" s="67"/>
      <c r="K305" s="68"/>
      <c r="L305" s="4"/>
      <c r="M305" s="4"/>
      <c r="N305" s="4"/>
      <c r="O305" s="4"/>
      <c r="P305" s="4"/>
      <c r="Q305" s="4"/>
    </row>
    <row r="306" customFormat="false" ht="18" hidden="false" customHeight="true" outlineLevel="0" collapsed="false">
      <c r="A306" s="63" t="str">
        <f aca="false">IF($B306="","","PM-"&amp;TEXT(ROW()-5,"0000"))</f>
        <v/>
      </c>
      <c r="B306" s="69"/>
      <c r="C306" s="65" t="str">
        <f aca="false">IF($B306="","",MONTH($B306))</f>
        <v/>
      </c>
      <c r="D306" s="70"/>
      <c r="E306" s="70"/>
      <c r="F306" s="70"/>
      <c r="G306" s="70"/>
      <c r="H306" s="70"/>
      <c r="I306" s="70"/>
      <c r="J306" s="71"/>
      <c r="K306" s="72"/>
      <c r="L306" s="4"/>
      <c r="M306" s="4"/>
      <c r="N306" s="4"/>
      <c r="O306" s="4"/>
      <c r="P306" s="4"/>
      <c r="Q306" s="4"/>
    </row>
    <row r="307" customFormat="false" ht="18" hidden="false" customHeight="true" outlineLevel="0" collapsed="false">
      <c r="A307" s="63" t="str">
        <f aca="false">IF($B307="","","PM-"&amp;TEXT(ROW()-5,"0000"))</f>
        <v/>
      </c>
      <c r="B307" s="64"/>
      <c r="C307" s="65" t="str">
        <f aca="false">IF($B307="","",MONTH($B307))</f>
        <v/>
      </c>
      <c r="D307" s="66"/>
      <c r="E307" s="66"/>
      <c r="F307" s="66"/>
      <c r="G307" s="66"/>
      <c r="H307" s="66"/>
      <c r="I307" s="66"/>
      <c r="J307" s="67"/>
      <c r="K307" s="68"/>
      <c r="L307" s="4"/>
      <c r="M307" s="4"/>
      <c r="N307" s="4"/>
      <c r="O307" s="4"/>
      <c r="P307" s="4"/>
      <c r="Q307" s="4"/>
    </row>
    <row r="308" customFormat="false" ht="18" hidden="false" customHeight="true" outlineLevel="0" collapsed="false">
      <c r="A308" s="63" t="str">
        <f aca="false">IF($B308="","","PM-"&amp;TEXT(ROW()-5,"0000"))</f>
        <v/>
      </c>
      <c r="B308" s="69"/>
      <c r="C308" s="65" t="str">
        <f aca="false">IF($B308="","",MONTH($B308))</f>
        <v/>
      </c>
      <c r="D308" s="70"/>
      <c r="E308" s="70"/>
      <c r="F308" s="70"/>
      <c r="G308" s="70"/>
      <c r="H308" s="70"/>
      <c r="I308" s="70"/>
      <c r="J308" s="71"/>
      <c r="K308" s="72"/>
      <c r="L308" s="4"/>
      <c r="M308" s="4"/>
      <c r="N308" s="4"/>
      <c r="O308" s="4"/>
      <c r="P308" s="4"/>
      <c r="Q308" s="4"/>
    </row>
    <row r="309" customFormat="false" ht="18" hidden="false" customHeight="true" outlineLevel="0" collapsed="false">
      <c r="A309" s="63" t="str">
        <f aca="false">IF($B309="","","PM-"&amp;TEXT(ROW()-5,"0000"))</f>
        <v/>
      </c>
      <c r="B309" s="64"/>
      <c r="C309" s="65" t="str">
        <f aca="false">IF($B309="","",MONTH($B309))</f>
        <v/>
      </c>
      <c r="D309" s="66"/>
      <c r="E309" s="66"/>
      <c r="F309" s="66"/>
      <c r="G309" s="66"/>
      <c r="H309" s="66"/>
      <c r="I309" s="66"/>
      <c r="J309" s="67"/>
      <c r="K309" s="68"/>
      <c r="L309" s="4"/>
      <c r="M309" s="4"/>
      <c r="N309" s="4"/>
      <c r="O309" s="4"/>
      <c r="P309" s="4"/>
      <c r="Q309" s="4"/>
    </row>
    <row r="310" customFormat="false" ht="18" hidden="false" customHeight="true" outlineLevel="0" collapsed="false">
      <c r="A310" s="63" t="str">
        <f aca="false">IF($B310="","","PM-"&amp;TEXT(ROW()-5,"0000"))</f>
        <v/>
      </c>
      <c r="B310" s="69"/>
      <c r="C310" s="65" t="str">
        <f aca="false">IF($B310="","",MONTH($B310))</f>
        <v/>
      </c>
      <c r="D310" s="70"/>
      <c r="E310" s="70"/>
      <c r="F310" s="70"/>
      <c r="G310" s="70"/>
      <c r="H310" s="70"/>
      <c r="I310" s="70"/>
      <c r="J310" s="71"/>
      <c r="K310" s="72"/>
      <c r="L310" s="4"/>
      <c r="M310" s="4"/>
      <c r="N310" s="4"/>
      <c r="O310" s="4"/>
      <c r="P310" s="4"/>
      <c r="Q310" s="4"/>
    </row>
    <row r="311" customFormat="false" ht="18" hidden="false" customHeight="true" outlineLevel="0" collapsed="false">
      <c r="A311" s="63" t="str">
        <f aca="false">IF($B311="","","PM-"&amp;TEXT(ROW()-5,"0000"))</f>
        <v/>
      </c>
      <c r="B311" s="64"/>
      <c r="C311" s="65" t="str">
        <f aca="false">IF($B311="","",MONTH($B311))</f>
        <v/>
      </c>
      <c r="D311" s="66"/>
      <c r="E311" s="66"/>
      <c r="F311" s="66"/>
      <c r="G311" s="66"/>
      <c r="H311" s="66"/>
      <c r="I311" s="66"/>
      <c r="J311" s="67"/>
      <c r="K311" s="68"/>
      <c r="L311" s="4"/>
      <c r="M311" s="4"/>
      <c r="N311" s="4"/>
      <c r="O311" s="4"/>
      <c r="P311" s="4"/>
      <c r="Q311" s="4"/>
    </row>
    <row r="312" customFormat="false" ht="18" hidden="false" customHeight="true" outlineLevel="0" collapsed="false">
      <c r="A312" s="63" t="str">
        <f aca="false">IF($B312="","","PM-"&amp;TEXT(ROW()-5,"0000"))</f>
        <v/>
      </c>
      <c r="B312" s="69"/>
      <c r="C312" s="65" t="str">
        <f aca="false">IF($B312="","",MONTH($B312))</f>
        <v/>
      </c>
      <c r="D312" s="70"/>
      <c r="E312" s="70"/>
      <c r="F312" s="70"/>
      <c r="G312" s="70"/>
      <c r="H312" s="70"/>
      <c r="I312" s="70"/>
      <c r="J312" s="71"/>
      <c r="K312" s="72"/>
      <c r="L312" s="4"/>
      <c r="M312" s="4"/>
      <c r="N312" s="4"/>
      <c r="O312" s="4"/>
      <c r="P312" s="4"/>
      <c r="Q312" s="4"/>
    </row>
    <row r="313" customFormat="false" ht="18" hidden="false" customHeight="true" outlineLevel="0" collapsed="false">
      <c r="A313" s="63" t="str">
        <f aca="false">IF($B313="","","PM-"&amp;TEXT(ROW()-5,"0000"))</f>
        <v/>
      </c>
      <c r="B313" s="64"/>
      <c r="C313" s="65" t="str">
        <f aca="false">IF($B313="","",MONTH($B313))</f>
        <v/>
      </c>
      <c r="D313" s="66"/>
      <c r="E313" s="66"/>
      <c r="F313" s="66"/>
      <c r="G313" s="66"/>
      <c r="H313" s="66"/>
      <c r="I313" s="66"/>
      <c r="J313" s="67"/>
      <c r="K313" s="68"/>
      <c r="L313" s="4"/>
      <c r="M313" s="4"/>
      <c r="N313" s="4"/>
      <c r="O313" s="4"/>
      <c r="P313" s="4"/>
      <c r="Q313" s="4"/>
    </row>
    <row r="314" customFormat="false" ht="18" hidden="false" customHeight="true" outlineLevel="0" collapsed="false">
      <c r="A314" s="63" t="str">
        <f aca="false">IF($B314="","","PM-"&amp;TEXT(ROW()-5,"0000"))</f>
        <v/>
      </c>
      <c r="B314" s="69"/>
      <c r="C314" s="65" t="str">
        <f aca="false">IF($B314="","",MONTH($B314))</f>
        <v/>
      </c>
      <c r="D314" s="70"/>
      <c r="E314" s="70"/>
      <c r="F314" s="70"/>
      <c r="G314" s="70"/>
      <c r="H314" s="70"/>
      <c r="I314" s="70"/>
      <c r="J314" s="71"/>
      <c r="K314" s="72"/>
      <c r="L314" s="4"/>
      <c r="M314" s="4"/>
      <c r="N314" s="4"/>
      <c r="O314" s="4"/>
      <c r="P314" s="4"/>
      <c r="Q314" s="4"/>
    </row>
    <row r="315" customFormat="false" ht="18" hidden="false" customHeight="true" outlineLevel="0" collapsed="false">
      <c r="A315" s="63" t="str">
        <f aca="false">IF($B315="","","PM-"&amp;TEXT(ROW()-5,"0000"))</f>
        <v/>
      </c>
      <c r="B315" s="64"/>
      <c r="C315" s="65" t="str">
        <f aca="false">IF($B315="","",MONTH($B315))</f>
        <v/>
      </c>
      <c r="D315" s="66"/>
      <c r="E315" s="66"/>
      <c r="F315" s="66"/>
      <c r="G315" s="66"/>
      <c r="H315" s="66"/>
      <c r="I315" s="66"/>
      <c r="J315" s="67"/>
      <c r="K315" s="68"/>
      <c r="L315" s="4"/>
      <c r="M315" s="4"/>
      <c r="N315" s="4"/>
      <c r="O315" s="4"/>
      <c r="P315" s="4"/>
      <c r="Q315" s="4"/>
    </row>
    <row r="316" customFormat="false" ht="18" hidden="false" customHeight="true" outlineLevel="0" collapsed="false">
      <c r="A316" s="63" t="str">
        <f aca="false">IF($B316="","","PM-"&amp;TEXT(ROW()-5,"0000"))</f>
        <v/>
      </c>
      <c r="B316" s="69"/>
      <c r="C316" s="65" t="str">
        <f aca="false">IF($B316="","",MONTH($B316))</f>
        <v/>
      </c>
      <c r="D316" s="70"/>
      <c r="E316" s="70"/>
      <c r="F316" s="70"/>
      <c r="G316" s="70"/>
      <c r="H316" s="70"/>
      <c r="I316" s="70"/>
      <c r="J316" s="71"/>
      <c r="K316" s="72"/>
      <c r="L316" s="4"/>
      <c r="M316" s="4"/>
      <c r="N316" s="4"/>
      <c r="O316" s="4"/>
      <c r="P316" s="4"/>
      <c r="Q316" s="4"/>
    </row>
    <row r="317" customFormat="false" ht="18" hidden="false" customHeight="true" outlineLevel="0" collapsed="false">
      <c r="A317" s="63" t="str">
        <f aca="false">IF($B317="","","PM-"&amp;TEXT(ROW()-5,"0000"))</f>
        <v/>
      </c>
      <c r="B317" s="64"/>
      <c r="C317" s="65" t="str">
        <f aca="false">IF($B317="","",MONTH($B317))</f>
        <v/>
      </c>
      <c r="D317" s="66"/>
      <c r="E317" s="66"/>
      <c r="F317" s="66"/>
      <c r="G317" s="66"/>
      <c r="H317" s="66"/>
      <c r="I317" s="66"/>
      <c r="J317" s="67"/>
      <c r="K317" s="68"/>
      <c r="L317" s="4"/>
      <c r="M317" s="4"/>
      <c r="N317" s="4"/>
      <c r="O317" s="4"/>
      <c r="P317" s="4"/>
      <c r="Q317" s="4"/>
    </row>
    <row r="318" customFormat="false" ht="18" hidden="false" customHeight="true" outlineLevel="0" collapsed="false">
      <c r="A318" s="63" t="str">
        <f aca="false">IF($B318="","","PM-"&amp;TEXT(ROW()-5,"0000"))</f>
        <v/>
      </c>
      <c r="B318" s="69"/>
      <c r="C318" s="65" t="str">
        <f aca="false">IF($B318="","",MONTH($B318))</f>
        <v/>
      </c>
      <c r="D318" s="70"/>
      <c r="E318" s="70"/>
      <c r="F318" s="70"/>
      <c r="G318" s="70"/>
      <c r="H318" s="70"/>
      <c r="I318" s="70"/>
      <c r="J318" s="71"/>
      <c r="K318" s="72"/>
      <c r="L318" s="4"/>
      <c r="M318" s="4"/>
      <c r="N318" s="4"/>
      <c r="O318" s="4"/>
      <c r="P318" s="4"/>
      <c r="Q318" s="4"/>
    </row>
    <row r="319" customFormat="false" ht="18" hidden="false" customHeight="true" outlineLevel="0" collapsed="false">
      <c r="A319" s="63" t="str">
        <f aca="false">IF($B319="","","PM-"&amp;TEXT(ROW()-5,"0000"))</f>
        <v/>
      </c>
      <c r="B319" s="64"/>
      <c r="C319" s="65" t="str">
        <f aca="false">IF($B319="","",MONTH($B319))</f>
        <v/>
      </c>
      <c r="D319" s="66"/>
      <c r="E319" s="66"/>
      <c r="F319" s="66"/>
      <c r="G319" s="66"/>
      <c r="H319" s="66"/>
      <c r="I319" s="66"/>
      <c r="J319" s="67"/>
      <c r="K319" s="68"/>
      <c r="L319" s="4"/>
      <c r="M319" s="4"/>
      <c r="N319" s="4"/>
      <c r="O319" s="4"/>
      <c r="P319" s="4"/>
      <c r="Q319" s="4"/>
    </row>
    <row r="320" customFormat="false" ht="18" hidden="false" customHeight="true" outlineLevel="0" collapsed="false">
      <c r="A320" s="63" t="str">
        <f aca="false">IF($B320="","","PM-"&amp;TEXT(ROW()-5,"0000"))</f>
        <v/>
      </c>
      <c r="B320" s="69"/>
      <c r="C320" s="65" t="str">
        <f aca="false">IF($B320="","",MONTH($B320))</f>
        <v/>
      </c>
      <c r="D320" s="70"/>
      <c r="E320" s="70"/>
      <c r="F320" s="70"/>
      <c r="G320" s="70"/>
      <c r="H320" s="70"/>
      <c r="I320" s="70"/>
      <c r="J320" s="71"/>
      <c r="K320" s="72"/>
      <c r="L320" s="4"/>
      <c r="M320" s="4"/>
      <c r="N320" s="4"/>
      <c r="O320" s="4"/>
      <c r="P320" s="4"/>
      <c r="Q320" s="4"/>
    </row>
    <row r="321" customFormat="false" ht="18" hidden="false" customHeight="true" outlineLevel="0" collapsed="false">
      <c r="A321" s="63" t="str">
        <f aca="false">IF($B321="","","PM-"&amp;TEXT(ROW()-5,"0000"))</f>
        <v/>
      </c>
      <c r="B321" s="64"/>
      <c r="C321" s="65" t="str">
        <f aca="false">IF($B321="","",MONTH($B321))</f>
        <v/>
      </c>
      <c r="D321" s="66"/>
      <c r="E321" s="66"/>
      <c r="F321" s="66"/>
      <c r="G321" s="66"/>
      <c r="H321" s="66"/>
      <c r="I321" s="66"/>
      <c r="J321" s="67"/>
      <c r="K321" s="68"/>
      <c r="L321" s="4"/>
      <c r="M321" s="4"/>
      <c r="N321" s="4"/>
      <c r="O321" s="4"/>
      <c r="P321" s="4"/>
      <c r="Q321" s="4"/>
    </row>
    <row r="322" customFormat="false" ht="18" hidden="false" customHeight="true" outlineLevel="0" collapsed="false">
      <c r="A322" s="63" t="str">
        <f aca="false">IF($B322="","","PM-"&amp;TEXT(ROW()-5,"0000"))</f>
        <v/>
      </c>
      <c r="B322" s="69"/>
      <c r="C322" s="65" t="str">
        <f aca="false">IF($B322="","",MONTH($B322))</f>
        <v/>
      </c>
      <c r="D322" s="70"/>
      <c r="E322" s="70"/>
      <c r="F322" s="70"/>
      <c r="G322" s="70"/>
      <c r="H322" s="70"/>
      <c r="I322" s="70"/>
      <c r="J322" s="71"/>
      <c r="K322" s="72"/>
      <c r="L322" s="4"/>
      <c r="M322" s="4"/>
      <c r="N322" s="4"/>
      <c r="O322" s="4"/>
      <c r="P322" s="4"/>
      <c r="Q322" s="4"/>
    </row>
    <row r="323" customFormat="false" ht="18" hidden="false" customHeight="true" outlineLevel="0" collapsed="false">
      <c r="A323" s="63" t="str">
        <f aca="false">IF($B323="","","PM-"&amp;TEXT(ROW()-5,"0000"))</f>
        <v/>
      </c>
      <c r="B323" s="64"/>
      <c r="C323" s="65" t="str">
        <f aca="false">IF($B323="","",MONTH($B323))</f>
        <v/>
      </c>
      <c r="D323" s="66"/>
      <c r="E323" s="66"/>
      <c r="F323" s="66"/>
      <c r="G323" s="66"/>
      <c r="H323" s="66"/>
      <c r="I323" s="66"/>
      <c r="J323" s="67"/>
      <c r="K323" s="68"/>
      <c r="L323" s="4"/>
      <c r="M323" s="4"/>
      <c r="N323" s="4"/>
      <c r="O323" s="4"/>
      <c r="P323" s="4"/>
      <c r="Q323" s="4"/>
    </row>
    <row r="324" customFormat="false" ht="18" hidden="false" customHeight="true" outlineLevel="0" collapsed="false">
      <c r="A324" s="63" t="str">
        <f aca="false">IF($B324="","","PM-"&amp;TEXT(ROW()-5,"0000"))</f>
        <v/>
      </c>
      <c r="B324" s="69"/>
      <c r="C324" s="65" t="str">
        <f aca="false">IF($B324="","",MONTH($B324))</f>
        <v/>
      </c>
      <c r="D324" s="70"/>
      <c r="E324" s="70"/>
      <c r="F324" s="70"/>
      <c r="G324" s="70"/>
      <c r="H324" s="70"/>
      <c r="I324" s="70"/>
      <c r="J324" s="71"/>
      <c r="K324" s="72"/>
      <c r="L324" s="4"/>
      <c r="M324" s="4"/>
      <c r="N324" s="4"/>
      <c r="O324" s="4"/>
      <c r="P324" s="4"/>
      <c r="Q324" s="4"/>
    </row>
    <row r="325" customFormat="false" ht="18" hidden="false" customHeight="true" outlineLevel="0" collapsed="false">
      <c r="A325" s="63" t="str">
        <f aca="false">IF($B325="","","PM-"&amp;TEXT(ROW()-5,"0000"))</f>
        <v/>
      </c>
      <c r="B325" s="64"/>
      <c r="C325" s="65" t="str">
        <f aca="false">IF($B325="","",MONTH($B325))</f>
        <v/>
      </c>
      <c r="D325" s="66"/>
      <c r="E325" s="66"/>
      <c r="F325" s="66"/>
      <c r="G325" s="66"/>
      <c r="H325" s="66"/>
      <c r="I325" s="66"/>
      <c r="J325" s="67"/>
      <c r="K325" s="68"/>
      <c r="L325" s="4"/>
      <c r="M325" s="4"/>
      <c r="N325" s="4"/>
      <c r="O325" s="4"/>
      <c r="P325" s="4"/>
      <c r="Q325" s="4"/>
    </row>
    <row r="326" customFormat="false" ht="18" hidden="false" customHeight="true" outlineLevel="0" collapsed="false">
      <c r="A326" s="63" t="str">
        <f aca="false">IF($B326="","","PM-"&amp;TEXT(ROW()-5,"0000"))</f>
        <v/>
      </c>
      <c r="B326" s="69"/>
      <c r="C326" s="65" t="str">
        <f aca="false">IF($B326="","",MONTH($B326))</f>
        <v/>
      </c>
      <c r="D326" s="70"/>
      <c r="E326" s="70"/>
      <c r="F326" s="70"/>
      <c r="G326" s="70"/>
      <c r="H326" s="70"/>
      <c r="I326" s="70"/>
      <c r="J326" s="71"/>
      <c r="K326" s="72"/>
      <c r="L326" s="4"/>
      <c r="M326" s="4"/>
      <c r="N326" s="4"/>
      <c r="O326" s="4"/>
      <c r="P326" s="4"/>
      <c r="Q326" s="4"/>
    </row>
    <row r="327" customFormat="false" ht="18" hidden="false" customHeight="true" outlineLevel="0" collapsed="false">
      <c r="A327" s="63" t="str">
        <f aca="false">IF($B327="","","PM-"&amp;TEXT(ROW()-5,"0000"))</f>
        <v/>
      </c>
      <c r="B327" s="64"/>
      <c r="C327" s="65" t="str">
        <f aca="false">IF($B327="","",MONTH($B327))</f>
        <v/>
      </c>
      <c r="D327" s="66"/>
      <c r="E327" s="66"/>
      <c r="F327" s="66"/>
      <c r="G327" s="66"/>
      <c r="H327" s="66"/>
      <c r="I327" s="66"/>
      <c r="J327" s="67"/>
      <c r="K327" s="68"/>
      <c r="L327" s="4"/>
      <c r="M327" s="4"/>
      <c r="N327" s="4"/>
      <c r="O327" s="4"/>
      <c r="P327" s="4"/>
      <c r="Q327" s="4"/>
    </row>
    <row r="328" customFormat="false" ht="18" hidden="false" customHeight="true" outlineLevel="0" collapsed="false">
      <c r="A328" s="63" t="str">
        <f aca="false">IF($B328="","","PM-"&amp;TEXT(ROW()-5,"0000"))</f>
        <v/>
      </c>
      <c r="B328" s="69"/>
      <c r="C328" s="65" t="str">
        <f aca="false">IF($B328="","",MONTH($B328))</f>
        <v/>
      </c>
      <c r="D328" s="70"/>
      <c r="E328" s="70"/>
      <c r="F328" s="70"/>
      <c r="G328" s="70"/>
      <c r="H328" s="70"/>
      <c r="I328" s="70"/>
      <c r="J328" s="71"/>
      <c r="K328" s="72"/>
      <c r="L328" s="4"/>
      <c r="M328" s="4"/>
      <c r="N328" s="4"/>
      <c r="O328" s="4"/>
      <c r="P328" s="4"/>
      <c r="Q328" s="4"/>
    </row>
    <row r="329" customFormat="false" ht="18" hidden="false" customHeight="true" outlineLevel="0" collapsed="false">
      <c r="A329" s="63" t="str">
        <f aca="false">IF($B329="","","PM-"&amp;TEXT(ROW()-5,"0000"))</f>
        <v/>
      </c>
      <c r="B329" s="64"/>
      <c r="C329" s="65" t="str">
        <f aca="false">IF($B329="","",MONTH($B329))</f>
        <v/>
      </c>
      <c r="D329" s="66"/>
      <c r="E329" s="66"/>
      <c r="F329" s="66"/>
      <c r="G329" s="66"/>
      <c r="H329" s="66"/>
      <c r="I329" s="66"/>
      <c r="J329" s="67"/>
      <c r="K329" s="68"/>
      <c r="L329" s="4"/>
      <c r="M329" s="4"/>
      <c r="N329" s="4"/>
      <c r="O329" s="4"/>
      <c r="P329" s="4"/>
      <c r="Q329" s="4"/>
    </row>
    <row r="330" customFormat="false" ht="18" hidden="false" customHeight="true" outlineLevel="0" collapsed="false">
      <c r="A330" s="63" t="str">
        <f aca="false">IF($B330="","","PM-"&amp;TEXT(ROW()-5,"0000"))</f>
        <v/>
      </c>
      <c r="B330" s="69"/>
      <c r="C330" s="65" t="str">
        <f aca="false">IF($B330="","",MONTH($B330))</f>
        <v/>
      </c>
      <c r="D330" s="70"/>
      <c r="E330" s="70"/>
      <c r="F330" s="70"/>
      <c r="G330" s="70"/>
      <c r="H330" s="70"/>
      <c r="I330" s="70"/>
      <c r="J330" s="71"/>
      <c r="K330" s="72"/>
      <c r="L330" s="4"/>
      <c r="M330" s="4"/>
      <c r="N330" s="4"/>
      <c r="O330" s="4"/>
      <c r="P330" s="4"/>
      <c r="Q330" s="4"/>
    </row>
    <row r="331" customFormat="false" ht="18" hidden="false" customHeight="true" outlineLevel="0" collapsed="false">
      <c r="A331" s="63" t="str">
        <f aca="false">IF($B331="","","PM-"&amp;TEXT(ROW()-5,"0000"))</f>
        <v/>
      </c>
      <c r="B331" s="64"/>
      <c r="C331" s="65" t="str">
        <f aca="false">IF($B331="","",MONTH($B331))</f>
        <v/>
      </c>
      <c r="D331" s="66"/>
      <c r="E331" s="66"/>
      <c r="F331" s="66"/>
      <c r="G331" s="66"/>
      <c r="H331" s="66"/>
      <c r="I331" s="66"/>
      <c r="J331" s="67"/>
      <c r="K331" s="68"/>
      <c r="L331" s="4"/>
      <c r="M331" s="4"/>
      <c r="N331" s="4"/>
      <c r="O331" s="4"/>
      <c r="P331" s="4"/>
      <c r="Q331" s="4"/>
    </row>
    <row r="332" customFormat="false" ht="18" hidden="false" customHeight="true" outlineLevel="0" collapsed="false">
      <c r="A332" s="63" t="str">
        <f aca="false">IF($B332="","","PM-"&amp;TEXT(ROW()-5,"0000"))</f>
        <v/>
      </c>
      <c r="B332" s="69"/>
      <c r="C332" s="65" t="str">
        <f aca="false">IF($B332="","",MONTH($B332))</f>
        <v/>
      </c>
      <c r="D332" s="70"/>
      <c r="E332" s="70"/>
      <c r="F332" s="70"/>
      <c r="G332" s="70"/>
      <c r="H332" s="70"/>
      <c r="I332" s="70"/>
      <c r="J332" s="71"/>
      <c r="K332" s="72"/>
      <c r="L332" s="4"/>
      <c r="M332" s="4"/>
      <c r="N332" s="4"/>
      <c r="O332" s="4"/>
      <c r="P332" s="4"/>
      <c r="Q332" s="4"/>
    </row>
    <row r="333" customFormat="false" ht="18" hidden="false" customHeight="true" outlineLevel="0" collapsed="false">
      <c r="A333" s="63" t="str">
        <f aca="false">IF($B333="","","PM-"&amp;TEXT(ROW()-5,"0000"))</f>
        <v/>
      </c>
      <c r="B333" s="64"/>
      <c r="C333" s="65" t="str">
        <f aca="false">IF($B333="","",MONTH($B333))</f>
        <v/>
      </c>
      <c r="D333" s="66"/>
      <c r="E333" s="66"/>
      <c r="F333" s="66"/>
      <c r="G333" s="66"/>
      <c r="H333" s="66"/>
      <c r="I333" s="66"/>
      <c r="J333" s="67"/>
      <c r="K333" s="68"/>
      <c r="L333" s="4"/>
      <c r="M333" s="4"/>
      <c r="N333" s="4"/>
      <c r="O333" s="4"/>
      <c r="P333" s="4"/>
      <c r="Q333" s="4"/>
    </row>
    <row r="334" customFormat="false" ht="18" hidden="false" customHeight="true" outlineLevel="0" collapsed="false">
      <c r="A334" s="63" t="str">
        <f aca="false">IF($B334="","","PM-"&amp;TEXT(ROW()-5,"0000"))</f>
        <v/>
      </c>
      <c r="B334" s="69"/>
      <c r="C334" s="65" t="str">
        <f aca="false">IF($B334="","",MONTH($B334))</f>
        <v/>
      </c>
      <c r="D334" s="70"/>
      <c r="E334" s="70"/>
      <c r="F334" s="70"/>
      <c r="G334" s="70"/>
      <c r="H334" s="70"/>
      <c r="I334" s="70"/>
      <c r="J334" s="71"/>
      <c r="K334" s="72"/>
      <c r="L334" s="4"/>
      <c r="M334" s="4"/>
      <c r="N334" s="4"/>
      <c r="O334" s="4"/>
      <c r="P334" s="4"/>
      <c r="Q334" s="4"/>
    </row>
    <row r="335" customFormat="false" ht="18" hidden="false" customHeight="true" outlineLevel="0" collapsed="false">
      <c r="A335" s="63" t="str">
        <f aca="false">IF($B335="","","PM-"&amp;TEXT(ROW()-5,"0000"))</f>
        <v/>
      </c>
      <c r="B335" s="64"/>
      <c r="C335" s="65" t="str">
        <f aca="false">IF($B335="","",MONTH($B335))</f>
        <v/>
      </c>
      <c r="D335" s="66"/>
      <c r="E335" s="66"/>
      <c r="F335" s="66"/>
      <c r="G335" s="66"/>
      <c r="H335" s="66"/>
      <c r="I335" s="66"/>
      <c r="J335" s="67"/>
      <c r="K335" s="68"/>
      <c r="L335" s="4"/>
      <c r="M335" s="4"/>
      <c r="N335" s="4"/>
      <c r="O335" s="4"/>
      <c r="P335" s="4"/>
      <c r="Q335" s="4"/>
    </row>
    <row r="336" customFormat="false" ht="18" hidden="false" customHeight="true" outlineLevel="0" collapsed="false">
      <c r="A336" s="63" t="str">
        <f aca="false">IF($B336="","","PM-"&amp;TEXT(ROW()-5,"0000"))</f>
        <v/>
      </c>
      <c r="B336" s="69"/>
      <c r="C336" s="65" t="str">
        <f aca="false">IF($B336="","",MONTH($B336))</f>
        <v/>
      </c>
      <c r="D336" s="70"/>
      <c r="E336" s="70"/>
      <c r="F336" s="70"/>
      <c r="G336" s="70"/>
      <c r="H336" s="70"/>
      <c r="I336" s="70"/>
      <c r="J336" s="71"/>
      <c r="K336" s="72"/>
      <c r="L336" s="4"/>
      <c r="M336" s="4"/>
      <c r="N336" s="4"/>
      <c r="O336" s="4"/>
      <c r="P336" s="4"/>
      <c r="Q336" s="4"/>
    </row>
    <row r="337" customFormat="false" ht="18" hidden="false" customHeight="true" outlineLevel="0" collapsed="false">
      <c r="A337" s="63" t="str">
        <f aca="false">IF($B337="","","PM-"&amp;TEXT(ROW()-5,"0000"))</f>
        <v/>
      </c>
      <c r="B337" s="64"/>
      <c r="C337" s="65" t="str">
        <f aca="false">IF($B337="","",MONTH($B337))</f>
        <v/>
      </c>
      <c r="D337" s="66"/>
      <c r="E337" s="66"/>
      <c r="F337" s="66"/>
      <c r="G337" s="66"/>
      <c r="H337" s="66"/>
      <c r="I337" s="66"/>
      <c r="J337" s="67"/>
      <c r="K337" s="68"/>
      <c r="L337" s="4"/>
      <c r="M337" s="4"/>
      <c r="N337" s="4"/>
      <c r="O337" s="4"/>
      <c r="P337" s="4"/>
      <c r="Q337" s="4"/>
    </row>
    <row r="338" customFormat="false" ht="18" hidden="false" customHeight="true" outlineLevel="0" collapsed="false">
      <c r="A338" s="63" t="str">
        <f aca="false">IF($B338="","","PM-"&amp;TEXT(ROW()-5,"0000"))</f>
        <v/>
      </c>
      <c r="B338" s="69"/>
      <c r="C338" s="65" t="str">
        <f aca="false">IF($B338="","",MONTH($B338))</f>
        <v/>
      </c>
      <c r="D338" s="70"/>
      <c r="E338" s="70"/>
      <c r="F338" s="70"/>
      <c r="G338" s="70"/>
      <c r="H338" s="70"/>
      <c r="I338" s="70"/>
      <c r="J338" s="71"/>
      <c r="K338" s="72"/>
      <c r="L338" s="4"/>
      <c r="M338" s="4"/>
      <c r="N338" s="4"/>
      <c r="O338" s="4"/>
      <c r="P338" s="4"/>
      <c r="Q338" s="4"/>
    </row>
    <row r="339" customFormat="false" ht="18" hidden="false" customHeight="true" outlineLevel="0" collapsed="false">
      <c r="A339" s="63" t="str">
        <f aca="false">IF($B339="","","PM-"&amp;TEXT(ROW()-5,"0000"))</f>
        <v/>
      </c>
      <c r="B339" s="64"/>
      <c r="C339" s="65" t="str">
        <f aca="false">IF($B339="","",MONTH($B339))</f>
        <v/>
      </c>
      <c r="D339" s="66"/>
      <c r="E339" s="66"/>
      <c r="F339" s="66"/>
      <c r="G339" s="66"/>
      <c r="H339" s="66"/>
      <c r="I339" s="66"/>
      <c r="J339" s="67"/>
      <c r="K339" s="68"/>
      <c r="L339" s="4"/>
      <c r="M339" s="4"/>
      <c r="N339" s="4"/>
      <c r="O339" s="4"/>
      <c r="P339" s="4"/>
      <c r="Q339" s="4"/>
    </row>
    <row r="340" customFormat="false" ht="18" hidden="false" customHeight="true" outlineLevel="0" collapsed="false">
      <c r="A340" s="63" t="str">
        <f aca="false">IF($B340="","","PM-"&amp;TEXT(ROW()-5,"0000"))</f>
        <v/>
      </c>
      <c r="B340" s="69"/>
      <c r="C340" s="65" t="str">
        <f aca="false">IF($B340="","",MONTH($B340))</f>
        <v/>
      </c>
      <c r="D340" s="70"/>
      <c r="E340" s="70"/>
      <c r="F340" s="70"/>
      <c r="G340" s="70"/>
      <c r="H340" s="70"/>
      <c r="I340" s="70"/>
      <c r="J340" s="71"/>
      <c r="K340" s="72"/>
      <c r="L340" s="4"/>
      <c r="M340" s="4"/>
      <c r="N340" s="4"/>
      <c r="O340" s="4"/>
      <c r="P340" s="4"/>
      <c r="Q340" s="4"/>
    </row>
    <row r="341" customFormat="false" ht="18" hidden="false" customHeight="true" outlineLevel="0" collapsed="false">
      <c r="A341" s="63" t="str">
        <f aca="false">IF($B341="","","PM-"&amp;TEXT(ROW()-5,"0000"))</f>
        <v/>
      </c>
      <c r="B341" s="64"/>
      <c r="C341" s="65" t="str">
        <f aca="false">IF($B341="","",MONTH($B341))</f>
        <v/>
      </c>
      <c r="D341" s="66"/>
      <c r="E341" s="66"/>
      <c r="F341" s="66"/>
      <c r="G341" s="66"/>
      <c r="H341" s="66"/>
      <c r="I341" s="66"/>
      <c r="J341" s="67"/>
      <c r="K341" s="68"/>
      <c r="L341" s="4"/>
      <c r="M341" s="4"/>
      <c r="N341" s="4"/>
      <c r="O341" s="4"/>
      <c r="P341" s="4"/>
      <c r="Q341" s="4"/>
    </row>
    <row r="342" customFormat="false" ht="18" hidden="false" customHeight="true" outlineLevel="0" collapsed="false">
      <c r="A342" s="63" t="str">
        <f aca="false">IF($B342="","","PM-"&amp;TEXT(ROW()-5,"0000"))</f>
        <v/>
      </c>
      <c r="B342" s="69"/>
      <c r="C342" s="65" t="str">
        <f aca="false">IF($B342="","",MONTH($B342))</f>
        <v/>
      </c>
      <c r="D342" s="70"/>
      <c r="E342" s="70"/>
      <c r="F342" s="70"/>
      <c r="G342" s="70"/>
      <c r="H342" s="70"/>
      <c r="I342" s="70"/>
      <c r="J342" s="71"/>
      <c r="K342" s="72"/>
      <c r="L342" s="4"/>
      <c r="M342" s="4"/>
      <c r="N342" s="4"/>
      <c r="O342" s="4"/>
      <c r="P342" s="4"/>
      <c r="Q342" s="4"/>
    </row>
    <row r="343" customFormat="false" ht="18" hidden="false" customHeight="true" outlineLevel="0" collapsed="false">
      <c r="A343" s="63" t="str">
        <f aca="false">IF($B343="","","PM-"&amp;TEXT(ROW()-5,"0000"))</f>
        <v/>
      </c>
      <c r="B343" s="64"/>
      <c r="C343" s="65" t="str">
        <f aca="false">IF($B343="","",MONTH($B343))</f>
        <v/>
      </c>
      <c r="D343" s="66"/>
      <c r="E343" s="66"/>
      <c r="F343" s="66"/>
      <c r="G343" s="66"/>
      <c r="H343" s="66"/>
      <c r="I343" s="66"/>
      <c r="J343" s="67"/>
      <c r="K343" s="68"/>
      <c r="L343" s="4"/>
      <c r="M343" s="4"/>
      <c r="N343" s="4"/>
      <c r="O343" s="4"/>
      <c r="P343" s="4"/>
      <c r="Q343" s="4"/>
    </row>
    <row r="344" customFormat="false" ht="18" hidden="false" customHeight="true" outlineLevel="0" collapsed="false">
      <c r="A344" s="63" t="str">
        <f aca="false">IF($B344="","","PM-"&amp;TEXT(ROW()-5,"0000"))</f>
        <v/>
      </c>
      <c r="B344" s="69"/>
      <c r="C344" s="65" t="str">
        <f aca="false">IF($B344="","",MONTH($B344))</f>
        <v/>
      </c>
      <c r="D344" s="70"/>
      <c r="E344" s="70"/>
      <c r="F344" s="70"/>
      <c r="G344" s="70"/>
      <c r="H344" s="70"/>
      <c r="I344" s="70"/>
      <c r="J344" s="71"/>
      <c r="K344" s="72"/>
      <c r="L344" s="4"/>
      <c r="M344" s="4"/>
      <c r="N344" s="4"/>
      <c r="O344" s="4"/>
      <c r="P344" s="4"/>
      <c r="Q344" s="4"/>
    </row>
    <row r="345" customFormat="false" ht="18" hidden="false" customHeight="true" outlineLevel="0" collapsed="false">
      <c r="A345" s="63" t="str">
        <f aca="false">IF($B345="","","PM-"&amp;TEXT(ROW()-5,"0000"))</f>
        <v/>
      </c>
      <c r="B345" s="64"/>
      <c r="C345" s="65" t="str">
        <f aca="false">IF($B345="","",MONTH($B345))</f>
        <v/>
      </c>
      <c r="D345" s="66"/>
      <c r="E345" s="66"/>
      <c r="F345" s="66"/>
      <c r="G345" s="66"/>
      <c r="H345" s="66"/>
      <c r="I345" s="66"/>
      <c r="J345" s="67"/>
      <c r="K345" s="68"/>
      <c r="L345" s="4"/>
      <c r="M345" s="4"/>
      <c r="N345" s="4"/>
      <c r="O345" s="4"/>
      <c r="P345" s="4"/>
      <c r="Q345" s="4"/>
    </row>
    <row r="346" customFormat="false" ht="18" hidden="false" customHeight="true" outlineLevel="0" collapsed="false">
      <c r="A346" s="63" t="str">
        <f aca="false">IF($B346="","","PM-"&amp;TEXT(ROW()-5,"0000"))</f>
        <v/>
      </c>
      <c r="B346" s="69"/>
      <c r="C346" s="65" t="str">
        <f aca="false">IF($B346="","",MONTH($B346))</f>
        <v/>
      </c>
      <c r="D346" s="70"/>
      <c r="E346" s="70"/>
      <c r="F346" s="70"/>
      <c r="G346" s="70"/>
      <c r="H346" s="70"/>
      <c r="I346" s="70"/>
      <c r="J346" s="71"/>
      <c r="K346" s="72"/>
      <c r="L346" s="4"/>
      <c r="M346" s="4"/>
      <c r="N346" s="4"/>
      <c r="O346" s="4"/>
      <c r="P346" s="4"/>
      <c r="Q346" s="4"/>
    </row>
    <row r="347" customFormat="false" ht="18" hidden="false" customHeight="true" outlineLevel="0" collapsed="false">
      <c r="A347" s="63" t="str">
        <f aca="false">IF($B347="","","PM-"&amp;TEXT(ROW()-5,"0000"))</f>
        <v/>
      </c>
      <c r="B347" s="64"/>
      <c r="C347" s="65" t="str">
        <f aca="false">IF($B347="","",MONTH($B347))</f>
        <v/>
      </c>
      <c r="D347" s="66"/>
      <c r="E347" s="66"/>
      <c r="F347" s="66"/>
      <c r="G347" s="66"/>
      <c r="H347" s="66"/>
      <c r="I347" s="66"/>
      <c r="J347" s="67"/>
      <c r="K347" s="68"/>
      <c r="L347" s="4"/>
      <c r="M347" s="4"/>
      <c r="N347" s="4"/>
      <c r="O347" s="4"/>
      <c r="P347" s="4"/>
      <c r="Q347" s="4"/>
    </row>
    <row r="348" customFormat="false" ht="18" hidden="false" customHeight="true" outlineLevel="0" collapsed="false">
      <c r="A348" s="63" t="str">
        <f aca="false">IF($B348="","","PM-"&amp;TEXT(ROW()-5,"0000"))</f>
        <v/>
      </c>
      <c r="B348" s="69"/>
      <c r="C348" s="65" t="str">
        <f aca="false">IF($B348="","",MONTH($B348))</f>
        <v/>
      </c>
      <c r="D348" s="70"/>
      <c r="E348" s="70"/>
      <c r="F348" s="70"/>
      <c r="G348" s="70"/>
      <c r="H348" s="70"/>
      <c r="I348" s="70"/>
      <c r="J348" s="71"/>
      <c r="K348" s="72"/>
      <c r="L348" s="4"/>
      <c r="M348" s="4"/>
      <c r="N348" s="4"/>
      <c r="O348" s="4"/>
      <c r="P348" s="4"/>
      <c r="Q348" s="4"/>
    </row>
    <row r="349" customFormat="false" ht="18" hidden="false" customHeight="true" outlineLevel="0" collapsed="false">
      <c r="A349" s="63" t="str">
        <f aca="false">IF($B349="","","PM-"&amp;TEXT(ROW()-5,"0000"))</f>
        <v/>
      </c>
      <c r="B349" s="64"/>
      <c r="C349" s="65" t="str">
        <f aca="false">IF($B349="","",MONTH($B349))</f>
        <v/>
      </c>
      <c r="D349" s="66"/>
      <c r="E349" s="66"/>
      <c r="F349" s="66"/>
      <c r="G349" s="66"/>
      <c r="H349" s="66"/>
      <c r="I349" s="66"/>
      <c r="J349" s="67"/>
      <c r="K349" s="68"/>
      <c r="L349" s="4"/>
      <c r="M349" s="4"/>
      <c r="N349" s="4"/>
      <c r="O349" s="4"/>
      <c r="P349" s="4"/>
      <c r="Q349" s="4"/>
    </row>
    <row r="350" customFormat="false" ht="18" hidden="false" customHeight="true" outlineLevel="0" collapsed="false">
      <c r="A350" s="63" t="str">
        <f aca="false">IF($B350="","","PM-"&amp;TEXT(ROW()-5,"0000"))</f>
        <v/>
      </c>
      <c r="B350" s="69"/>
      <c r="C350" s="65" t="str">
        <f aca="false">IF($B350="","",MONTH($B350))</f>
        <v/>
      </c>
      <c r="D350" s="70"/>
      <c r="E350" s="70"/>
      <c r="F350" s="70"/>
      <c r="G350" s="70"/>
      <c r="H350" s="70"/>
      <c r="I350" s="70"/>
      <c r="J350" s="71"/>
      <c r="K350" s="72"/>
      <c r="L350" s="4"/>
      <c r="M350" s="4"/>
      <c r="N350" s="4"/>
      <c r="O350" s="4"/>
      <c r="P350" s="4"/>
      <c r="Q350" s="4"/>
    </row>
    <row r="351" customFormat="false" ht="18" hidden="false" customHeight="true" outlineLevel="0" collapsed="false">
      <c r="A351" s="63" t="str">
        <f aca="false">IF($B351="","","PM-"&amp;TEXT(ROW()-5,"0000"))</f>
        <v/>
      </c>
      <c r="B351" s="64"/>
      <c r="C351" s="65" t="str">
        <f aca="false">IF($B351="","",MONTH($B351))</f>
        <v/>
      </c>
      <c r="D351" s="66"/>
      <c r="E351" s="66"/>
      <c r="F351" s="66"/>
      <c r="G351" s="66"/>
      <c r="H351" s="66"/>
      <c r="I351" s="66"/>
      <c r="J351" s="67"/>
      <c r="K351" s="68"/>
      <c r="L351" s="4"/>
      <c r="M351" s="4"/>
      <c r="N351" s="4"/>
      <c r="O351" s="4"/>
      <c r="P351" s="4"/>
      <c r="Q351" s="4"/>
    </row>
    <row r="352" customFormat="false" ht="18" hidden="false" customHeight="true" outlineLevel="0" collapsed="false">
      <c r="A352" s="63" t="str">
        <f aca="false">IF($B352="","","PM-"&amp;TEXT(ROW()-5,"0000"))</f>
        <v/>
      </c>
      <c r="B352" s="69"/>
      <c r="C352" s="65" t="str">
        <f aca="false">IF($B352="","",MONTH($B352))</f>
        <v/>
      </c>
      <c r="D352" s="70"/>
      <c r="E352" s="70"/>
      <c r="F352" s="70"/>
      <c r="G352" s="70"/>
      <c r="H352" s="70"/>
      <c r="I352" s="70"/>
      <c r="J352" s="71"/>
      <c r="K352" s="72"/>
      <c r="L352" s="4"/>
      <c r="M352" s="4"/>
      <c r="N352" s="4"/>
      <c r="O352" s="4"/>
      <c r="P352" s="4"/>
      <c r="Q352" s="4"/>
    </row>
    <row r="353" customFormat="false" ht="18" hidden="false" customHeight="true" outlineLevel="0" collapsed="false">
      <c r="A353" s="63" t="str">
        <f aca="false">IF($B353="","","PM-"&amp;TEXT(ROW()-5,"0000"))</f>
        <v/>
      </c>
      <c r="B353" s="64"/>
      <c r="C353" s="65" t="str">
        <f aca="false">IF($B353="","",MONTH($B353))</f>
        <v/>
      </c>
      <c r="D353" s="66"/>
      <c r="E353" s="66"/>
      <c r="F353" s="66"/>
      <c r="G353" s="66"/>
      <c r="H353" s="66"/>
      <c r="I353" s="66"/>
      <c r="J353" s="67"/>
      <c r="K353" s="68"/>
      <c r="L353" s="4"/>
      <c r="M353" s="4"/>
      <c r="N353" s="4"/>
      <c r="O353" s="4"/>
      <c r="P353" s="4"/>
      <c r="Q353" s="4"/>
    </row>
    <row r="354" customFormat="false" ht="18" hidden="false" customHeight="true" outlineLevel="0" collapsed="false">
      <c r="A354" s="63" t="str">
        <f aca="false">IF($B354="","","PM-"&amp;TEXT(ROW()-5,"0000"))</f>
        <v/>
      </c>
      <c r="B354" s="69"/>
      <c r="C354" s="65" t="str">
        <f aca="false">IF($B354="","",MONTH($B354))</f>
        <v/>
      </c>
      <c r="D354" s="70"/>
      <c r="E354" s="70"/>
      <c r="F354" s="70"/>
      <c r="G354" s="70"/>
      <c r="H354" s="70"/>
      <c r="I354" s="70"/>
      <c r="J354" s="71"/>
      <c r="K354" s="72"/>
      <c r="L354" s="4"/>
      <c r="M354" s="4"/>
      <c r="N354" s="4"/>
      <c r="O354" s="4"/>
      <c r="P354" s="4"/>
      <c r="Q354" s="4"/>
    </row>
    <row r="355" customFormat="false" ht="18" hidden="false" customHeight="true" outlineLevel="0" collapsed="false">
      <c r="A355" s="63" t="str">
        <f aca="false">IF($B355="","","PM-"&amp;TEXT(ROW()-5,"0000"))</f>
        <v/>
      </c>
      <c r="B355" s="64"/>
      <c r="C355" s="65" t="str">
        <f aca="false">IF($B355="","",MONTH($B355))</f>
        <v/>
      </c>
      <c r="D355" s="66"/>
      <c r="E355" s="66"/>
      <c r="F355" s="66"/>
      <c r="G355" s="66"/>
      <c r="H355" s="66"/>
      <c r="I355" s="66"/>
      <c r="J355" s="67"/>
      <c r="K355" s="68"/>
      <c r="L355" s="4"/>
      <c r="M355" s="4"/>
      <c r="N355" s="4"/>
      <c r="O355" s="4"/>
      <c r="P355" s="4"/>
      <c r="Q355" s="4"/>
    </row>
    <row r="356" customFormat="false" ht="18" hidden="false" customHeight="true" outlineLevel="0" collapsed="false">
      <c r="A356" s="63" t="str">
        <f aca="false">IF($B356="","","PM-"&amp;TEXT(ROW()-5,"0000"))</f>
        <v/>
      </c>
      <c r="B356" s="69"/>
      <c r="C356" s="65" t="str">
        <f aca="false">IF($B356="","",MONTH($B356))</f>
        <v/>
      </c>
      <c r="D356" s="70"/>
      <c r="E356" s="70"/>
      <c r="F356" s="70"/>
      <c r="G356" s="70"/>
      <c r="H356" s="70"/>
      <c r="I356" s="70"/>
      <c r="J356" s="71"/>
      <c r="K356" s="72"/>
      <c r="L356" s="4"/>
      <c r="M356" s="4"/>
      <c r="N356" s="4"/>
      <c r="O356" s="4"/>
      <c r="P356" s="4"/>
      <c r="Q356" s="4"/>
    </row>
    <row r="357" customFormat="false" ht="18" hidden="false" customHeight="true" outlineLevel="0" collapsed="false">
      <c r="A357" s="63" t="str">
        <f aca="false">IF($B357="","","PM-"&amp;TEXT(ROW()-5,"0000"))</f>
        <v/>
      </c>
      <c r="B357" s="64"/>
      <c r="C357" s="65" t="str">
        <f aca="false">IF($B357="","",MONTH($B357))</f>
        <v/>
      </c>
      <c r="D357" s="66"/>
      <c r="E357" s="66"/>
      <c r="F357" s="66"/>
      <c r="G357" s="66"/>
      <c r="H357" s="66"/>
      <c r="I357" s="66"/>
      <c r="J357" s="67"/>
      <c r="K357" s="68"/>
      <c r="L357" s="4"/>
      <c r="M357" s="4"/>
      <c r="N357" s="4"/>
      <c r="O357" s="4"/>
      <c r="P357" s="4"/>
      <c r="Q357" s="4"/>
    </row>
    <row r="358" customFormat="false" ht="18" hidden="false" customHeight="true" outlineLevel="0" collapsed="false">
      <c r="A358" s="63" t="str">
        <f aca="false">IF($B358="","","PM-"&amp;TEXT(ROW()-5,"0000"))</f>
        <v/>
      </c>
      <c r="B358" s="69"/>
      <c r="C358" s="65" t="str">
        <f aca="false">IF($B358="","",MONTH($B358))</f>
        <v/>
      </c>
      <c r="D358" s="70"/>
      <c r="E358" s="70"/>
      <c r="F358" s="70"/>
      <c r="G358" s="70"/>
      <c r="H358" s="70"/>
      <c r="I358" s="70"/>
      <c r="J358" s="71"/>
      <c r="K358" s="72"/>
      <c r="L358" s="4"/>
      <c r="M358" s="4"/>
      <c r="N358" s="4"/>
      <c r="O358" s="4"/>
      <c r="P358" s="4"/>
      <c r="Q358" s="4"/>
    </row>
    <row r="359" customFormat="false" ht="18" hidden="false" customHeight="true" outlineLevel="0" collapsed="false">
      <c r="A359" s="63" t="str">
        <f aca="false">IF($B359="","","PM-"&amp;TEXT(ROW()-5,"0000"))</f>
        <v/>
      </c>
      <c r="B359" s="64"/>
      <c r="C359" s="65" t="str">
        <f aca="false">IF($B359="","",MONTH($B359))</f>
        <v/>
      </c>
      <c r="D359" s="66"/>
      <c r="E359" s="66"/>
      <c r="F359" s="66"/>
      <c r="G359" s="66"/>
      <c r="H359" s="66"/>
      <c r="I359" s="66"/>
      <c r="J359" s="67"/>
      <c r="K359" s="68"/>
      <c r="L359" s="4"/>
      <c r="M359" s="4"/>
      <c r="N359" s="4"/>
      <c r="O359" s="4"/>
      <c r="P359" s="4"/>
      <c r="Q359" s="4"/>
    </row>
    <row r="360" customFormat="false" ht="18" hidden="false" customHeight="true" outlineLevel="0" collapsed="false">
      <c r="A360" s="63" t="str">
        <f aca="false">IF($B360="","","PM-"&amp;TEXT(ROW()-5,"0000"))</f>
        <v/>
      </c>
      <c r="B360" s="69"/>
      <c r="C360" s="65" t="str">
        <f aca="false">IF($B360="","",MONTH($B360))</f>
        <v/>
      </c>
      <c r="D360" s="70"/>
      <c r="E360" s="70"/>
      <c r="F360" s="70"/>
      <c r="G360" s="70"/>
      <c r="H360" s="70"/>
      <c r="I360" s="70"/>
      <c r="J360" s="71"/>
      <c r="K360" s="72"/>
      <c r="L360" s="4"/>
      <c r="M360" s="4"/>
      <c r="N360" s="4"/>
      <c r="O360" s="4"/>
      <c r="P360" s="4"/>
      <c r="Q360" s="4"/>
    </row>
    <row r="361" customFormat="false" ht="18" hidden="false" customHeight="true" outlineLevel="0" collapsed="false">
      <c r="A361" s="63" t="str">
        <f aca="false">IF($B361="","","PM-"&amp;TEXT(ROW()-5,"0000"))</f>
        <v/>
      </c>
      <c r="B361" s="64"/>
      <c r="C361" s="65" t="str">
        <f aca="false">IF($B361="","",MONTH($B361))</f>
        <v/>
      </c>
      <c r="D361" s="66"/>
      <c r="E361" s="66"/>
      <c r="F361" s="66"/>
      <c r="G361" s="66"/>
      <c r="H361" s="66"/>
      <c r="I361" s="66"/>
      <c r="J361" s="67"/>
      <c r="K361" s="68"/>
      <c r="L361" s="4"/>
      <c r="M361" s="4"/>
      <c r="N361" s="4"/>
      <c r="O361" s="4"/>
      <c r="P361" s="4"/>
      <c r="Q361" s="4"/>
    </row>
    <row r="362" customFormat="false" ht="18" hidden="false" customHeight="true" outlineLevel="0" collapsed="false">
      <c r="A362" s="63" t="str">
        <f aca="false">IF($B362="","","PM-"&amp;TEXT(ROW()-5,"0000"))</f>
        <v/>
      </c>
      <c r="B362" s="69"/>
      <c r="C362" s="65" t="str">
        <f aca="false">IF($B362="","",MONTH($B362))</f>
        <v/>
      </c>
      <c r="D362" s="70"/>
      <c r="E362" s="70"/>
      <c r="F362" s="70"/>
      <c r="G362" s="70"/>
      <c r="H362" s="70"/>
      <c r="I362" s="70"/>
      <c r="J362" s="71"/>
      <c r="K362" s="72"/>
      <c r="L362" s="4"/>
      <c r="M362" s="4"/>
      <c r="N362" s="4"/>
      <c r="O362" s="4"/>
      <c r="P362" s="4"/>
      <c r="Q362" s="4"/>
    </row>
    <row r="363" customFormat="false" ht="18" hidden="false" customHeight="true" outlineLevel="0" collapsed="false">
      <c r="A363" s="63" t="str">
        <f aca="false">IF($B363="","","PM-"&amp;TEXT(ROW()-5,"0000"))</f>
        <v/>
      </c>
      <c r="B363" s="64"/>
      <c r="C363" s="65" t="str">
        <f aca="false">IF($B363="","",MONTH($B363))</f>
        <v/>
      </c>
      <c r="D363" s="66"/>
      <c r="E363" s="66"/>
      <c r="F363" s="66"/>
      <c r="G363" s="66"/>
      <c r="H363" s="66"/>
      <c r="I363" s="66"/>
      <c r="J363" s="67"/>
      <c r="K363" s="68"/>
      <c r="L363" s="4"/>
      <c r="M363" s="4"/>
      <c r="N363" s="4"/>
      <c r="O363" s="4"/>
      <c r="P363" s="4"/>
      <c r="Q363" s="4"/>
    </row>
    <row r="364" customFormat="false" ht="18" hidden="false" customHeight="true" outlineLevel="0" collapsed="false">
      <c r="A364" s="63" t="str">
        <f aca="false">IF($B364="","","PM-"&amp;TEXT(ROW()-5,"0000"))</f>
        <v/>
      </c>
      <c r="B364" s="69"/>
      <c r="C364" s="65" t="str">
        <f aca="false">IF($B364="","",MONTH($B364))</f>
        <v/>
      </c>
      <c r="D364" s="70"/>
      <c r="E364" s="70"/>
      <c r="F364" s="70"/>
      <c r="G364" s="70"/>
      <c r="H364" s="70"/>
      <c r="I364" s="70"/>
      <c r="J364" s="71"/>
      <c r="K364" s="72"/>
      <c r="L364" s="4"/>
      <c r="M364" s="4"/>
      <c r="N364" s="4"/>
      <c r="O364" s="4"/>
      <c r="P364" s="4"/>
      <c r="Q364" s="4"/>
    </row>
    <row r="365" customFormat="false" ht="18" hidden="false" customHeight="true" outlineLevel="0" collapsed="false">
      <c r="A365" s="63" t="str">
        <f aca="false">IF($B365="","","PM-"&amp;TEXT(ROW()-5,"0000"))</f>
        <v/>
      </c>
      <c r="B365" s="64"/>
      <c r="C365" s="65" t="str">
        <f aca="false">IF($B365="","",MONTH($B365))</f>
        <v/>
      </c>
      <c r="D365" s="66"/>
      <c r="E365" s="66"/>
      <c r="F365" s="66"/>
      <c r="G365" s="66"/>
      <c r="H365" s="66"/>
      <c r="I365" s="66"/>
      <c r="J365" s="67"/>
      <c r="K365" s="68"/>
      <c r="L365" s="4"/>
      <c r="M365" s="4"/>
      <c r="N365" s="4"/>
      <c r="O365" s="4"/>
      <c r="P365" s="4"/>
      <c r="Q365" s="4"/>
    </row>
    <row r="366" customFormat="false" ht="18" hidden="false" customHeight="true" outlineLevel="0" collapsed="false">
      <c r="A366" s="63" t="str">
        <f aca="false">IF($B366="","","PM-"&amp;TEXT(ROW()-5,"0000"))</f>
        <v/>
      </c>
      <c r="B366" s="69"/>
      <c r="C366" s="65" t="str">
        <f aca="false">IF($B366="","",MONTH($B366))</f>
        <v/>
      </c>
      <c r="D366" s="70"/>
      <c r="E366" s="70"/>
      <c r="F366" s="70"/>
      <c r="G366" s="70"/>
      <c r="H366" s="70"/>
      <c r="I366" s="70"/>
      <c r="J366" s="71"/>
      <c r="K366" s="72"/>
      <c r="L366" s="4"/>
      <c r="M366" s="4"/>
      <c r="N366" s="4"/>
      <c r="O366" s="4"/>
      <c r="P366" s="4"/>
      <c r="Q366" s="4"/>
    </row>
    <row r="367" customFormat="false" ht="18" hidden="false" customHeight="true" outlineLevel="0" collapsed="false">
      <c r="A367" s="63" t="str">
        <f aca="false">IF($B367="","","PM-"&amp;TEXT(ROW()-5,"0000"))</f>
        <v/>
      </c>
      <c r="B367" s="64"/>
      <c r="C367" s="65" t="str">
        <f aca="false">IF($B367="","",MONTH($B367))</f>
        <v/>
      </c>
      <c r="D367" s="66"/>
      <c r="E367" s="66"/>
      <c r="F367" s="66"/>
      <c r="G367" s="66"/>
      <c r="H367" s="66"/>
      <c r="I367" s="66"/>
      <c r="J367" s="67"/>
      <c r="K367" s="68"/>
      <c r="L367" s="4"/>
      <c r="M367" s="4"/>
      <c r="N367" s="4"/>
      <c r="O367" s="4"/>
      <c r="P367" s="4"/>
      <c r="Q367" s="4"/>
    </row>
    <row r="368" customFormat="false" ht="18" hidden="false" customHeight="true" outlineLevel="0" collapsed="false">
      <c r="A368" s="63" t="str">
        <f aca="false">IF($B368="","","PM-"&amp;TEXT(ROW()-5,"0000"))</f>
        <v/>
      </c>
      <c r="B368" s="69"/>
      <c r="C368" s="65" t="str">
        <f aca="false">IF($B368="","",MONTH($B368))</f>
        <v/>
      </c>
      <c r="D368" s="70"/>
      <c r="E368" s="70"/>
      <c r="F368" s="70"/>
      <c r="G368" s="70"/>
      <c r="H368" s="70"/>
      <c r="I368" s="70"/>
      <c r="J368" s="71"/>
      <c r="K368" s="72"/>
      <c r="L368" s="4"/>
      <c r="M368" s="4"/>
      <c r="N368" s="4"/>
      <c r="O368" s="4"/>
      <c r="P368" s="4"/>
      <c r="Q368" s="4"/>
    </row>
    <row r="369" customFormat="false" ht="18" hidden="false" customHeight="true" outlineLevel="0" collapsed="false">
      <c r="A369" s="63" t="str">
        <f aca="false">IF($B369="","","PM-"&amp;TEXT(ROW()-5,"0000"))</f>
        <v/>
      </c>
      <c r="B369" s="64"/>
      <c r="C369" s="65" t="str">
        <f aca="false">IF($B369="","",MONTH($B369))</f>
        <v/>
      </c>
      <c r="D369" s="66"/>
      <c r="E369" s="66"/>
      <c r="F369" s="66"/>
      <c r="G369" s="66"/>
      <c r="H369" s="66"/>
      <c r="I369" s="66"/>
      <c r="J369" s="67"/>
      <c r="K369" s="68"/>
      <c r="L369" s="4"/>
      <c r="M369" s="4"/>
      <c r="N369" s="4"/>
      <c r="O369" s="4"/>
      <c r="P369" s="4"/>
      <c r="Q369" s="4"/>
    </row>
    <row r="370" customFormat="false" ht="18" hidden="false" customHeight="true" outlineLevel="0" collapsed="false">
      <c r="A370" s="63" t="str">
        <f aca="false">IF($B370="","","PM-"&amp;TEXT(ROW()-5,"0000"))</f>
        <v/>
      </c>
      <c r="B370" s="69"/>
      <c r="C370" s="65" t="str">
        <f aca="false">IF($B370="","",MONTH($B370))</f>
        <v/>
      </c>
      <c r="D370" s="70"/>
      <c r="E370" s="70"/>
      <c r="F370" s="70"/>
      <c r="G370" s="70"/>
      <c r="H370" s="70"/>
      <c r="I370" s="70"/>
      <c r="J370" s="71"/>
      <c r="K370" s="72"/>
      <c r="L370" s="4"/>
      <c r="M370" s="4"/>
      <c r="N370" s="4"/>
      <c r="O370" s="4"/>
      <c r="P370" s="4"/>
      <c r="Q370" s="4"/>
    </row>
    <row r="371" customFormat="false" ht="18" hidden="false" customHeight="true" outlineLevel="0" collapsed="false">
      <c r="A371" s="63" t="str">
        <f aca="false">IF($B371="","","PM-"&amp;TEXT(ROW()-5,"0000"))</f>
        <v/>
      </c>
      <c r="B371" s="64"/>
      <c r="C371" s="65" t="str">
        <f aca="false">IF($B371="","",MONTH($B371))</f>
        <v/>
      </c>
      <c r="D371" s="66"/>
      <c r="E371" s="66"/>
      <c r="F371" s="66"/>
      <c r="G371" s="66"/>
      <c r="H371" s="66"/>
      <c r="I371" s="66"/>
      <c r="J371" s="67"/>
      <c r="K371" s="68"/>
      <c r="L371" s="4"/>
      <c r="M371" s="4"/>
      <c r="N371" s="4"/>
      <c r="O371" s="4"/>
      <c r="P371" s="4"/>
      <c r="Q371" s="4"/>
    </row>
    <row r="372" customFormat="false" ht="18" hidden="false" customHeight="true" outlineLevel="0" collapsed="false">
      <c r="A372" s="63" t="str">
        <f aca="false">IF($B372="","","PM-"&amp;TEXT(ROW()-5,"0000"))</f>
        <v/>
      </c>
      <c r="B372" s="69"/>
      <c r="C372" s="65" t="str">
        <f aca="false">IF($B372="","",MONTH($B372))</f>
        <v/>
      </c>
      <c r="D372" s="70"/>
      <c r="E372" s="70"/>
      <c r="F372" s="70"/>
      <c r="G372" s="70"/>
      <c r="H372" s="70"/>
      <c r="I372" s="70"/>
      <c r="J372" s="71"/>
      <c r="K372" s="72"/>
      <c r="L372" s="4"/>
      <c r="M372" s="4"/>
      <c r="N372" s="4"/>
      <c r="O372" s="4"/>
      <c r="P372" s="4"/>
      <c r="Q372" s="4"/>
    </row>
    <row r="373" customFormat="false" ht="18" hidden="false" customHeight="true" outlineLevel="0" collapsed="false">
      <c r="A373" s="63" t="str">
        <f aca="false">IF($B373="","","PM-"&amp;TEXT(ROW()-5,"0000"))</f>
        <v/>
      </c>
      <c r="B373" s="64"/>
      <c r="C373" s="65" t="str">
        <f aca="false">IF($B373="","",MONTH($B373))</f>
        <v/>
      </c>
      <c r="D373" s="66"/>
      <c r="E373" s="66"/>
      <c r="F373" s="66"/>
      <c r="G373" s="66"/>
      <c r="H373" s="66"/>
      <c r="I373" s="66"/>
      <c r="J373" s="67"/>
      <c r="K373" s="68"/>
      <c r="L373" s="4"/>
      <c r="M373" s="4"/>
      <c r="N373" s="4"/>
      <c r="O373" s="4"/>
      <c r="P373" s="4"/>
      <c r="Q373" s="4"/>
    </row>
    <row r="374" customFormat="false" ht="18" hidden="false" customHeight="true" outlineLevel="0" collapsed="false">
      <c r="A374" s="63" t="str">
        <f aca="false">IF($B374="","","PM-"&amp;TEXT(ROW()-5,"0000"))</f>
        <v/>
      </c>
      <c r="B374" s="69"/>
      <c r="C374" s="65" t="str">
        <f aca="false">IF($B374="","",MONTH($B374))</f>
        <v/>
      </c>
      <c r="D374" s="70"/>
      <c r="E374" s="70"/>
      <c r="F374" s="70"/>
      <c r="G374" s="70"/>
      <c r="H374" s="70"/>
      <c r="I374" s="70"/>
      <c r="J374" s="71"/>
      <c r="K374" s="72"/>
      <c r="L374" s="4"/>
      <c r="M374" s="4"/>
      <c r="N374" s="4"/>
      <c r="O374" s="4"/>
      <c r="P374" s="4"/>
      <c r="Q374" s="4"/>
    </row>
    <row r="375" customFormat="false" ht="18" hidden="false" customHeight="true" outlineLevel="0" collapsed="false">
      <c r="A375" s="63" t="str">
        <f aca="false">IF($B375="","","PM-"&amp;TEXT(ROW()-5,"0000"))</f>
        <v/>
      </c>
      <c r="B375" s="64"/>
      <c r="C375" s="65" t="str">
        <f aca="false">IF($B375="","",MONTH($B375))</f>
        <v/>
      </c>
      <c r="D375" s="66"/>
      <c r="E375" s="66"/>
      <c r="F375" s="66"/>
      <c r="G375" s="66"/>
      <c r="H375" s="66"/>
      <c r="I375" s="66"/>
      <c r="J375" s="67"/>
      <c r="K375" s="68"/>
      <c r="L375" s="4"/>
      <c r="M375" s="4"/>
      <c r="N375" s="4"/>
      <c r="O375" s="4"/>
      <c r="P375" s="4"/>
      <c r="Q375" s="4"/>
    </row>
    <row r="376" customFormat="false" ht="18" hidden="false" customHeight="true" outlineLevel="0" collapsed="false">
      <c r="A376" s="63" t="str">
        <f aca="false">IF($B376="","","PM-"&amp;TEXT(ROW()-5,"0000"))</f>
        <v/>
      </c>
      <c r="B376" s="69"/>
      <c r="C376" s="65" t="str">
        <f aca="false">IF($B376="","",MONTH($B376))</f>
        <v/>
      </c>
      <c r="D376" s="70"/>
      <c r="E376" s="70"/>
      <c r="F376" s="70"/>
      <c r="G376" s="70"/>
      <c r="H376" s="70"/>
      <c r="I376" s="70"/>
      <c r="J376" s="71"/>
      <c r="K376" s="72"/>
      <c r="L376" s="4"/>
      <c r="M376" s="4"/>
      <c r="N376" s="4"/>
      <c r="O376" s="4"/>
      <c r="P376" s="4"/>
      <c r="Q376" s="4"/>
    </row>
    <row r="377" customFormat="false" ht="18" hidden="false" customHeight="true" outlineLevel="0" collapsed="false">
      <c r="A377" s="63" t="str">
        <f aca="false">IF($B377="","","PM-"&amp;TEXT(ROW()-5,"0000"))</f>
        <v/>
      </c>
      <c r="B377" s="64"/>
      <c r="C377" s="65" t="str">
        <f aca="false">IF($B377="","",MONTH($B377))</f>
        <v/>
      </c>
      <c r="D377" s="66"/>
      <c r="E377" s="66"/>
      <c r="F377" s="66"/>
      <c r="G377" s="66"/>
      <c r="H377" s="66"/>
      <c r="I377" s="66"/>
      <c r="J377" s="67"/>
      <c r="K377" s="68"/>
      <c r="L377" s="4"/>
      <c r="M377" s="4"/>
      <c r="N377" s="4"/>
      <c r="O377" s="4"/>
      <c r="P377" s="4"/>
      <c r="Q377" s="4"/>
    </row>
    <row r="378" customFormat="false" ht="18" hidden="false" customHeight="true" outlineLevel="0" collapsed="false">
      <c r="A378" s="63" t="str">
        <f aca="false">IF($B378="","","PM-"&amp;TEXT(ROW()-5,"0000"))</f>
        <v/>
      </c>
      <c r="B378" s="69"/>
      <c r="C378" s="65" t="str">
        <f aca="false">IF($B378="","",MONTH($B378))</f>
        <v/>
      </c>
      <c r="D378" s="70"/>
      <c r="E378" s="70"/>
      <c r="F378" s="70"/>
      <c r="G378" s="70"/>
      <c r="H378" s="70"/>
      <c r="I378" s="70"/>
      <c r="J378" s="71"/>
      <c r="K378" s="72"/>
      <c r="L378" s="4"/>
      <c r="M378" s="4"/>
      <c r="N378" s="4"/>
      <c r="O378" s="4"/>
      <c r="P378" s="4"/>
      <c r="Q378" s="4"/>
    </row>
    <row r="379" customFormat="false" ht="18" hidden="false" customHeight="true" outlineLevel="0" collapsed="false">
      <c r="A379" s="63" t="str">
        <f aca="false">IF($B379="","","PM-"&amp;TEXT(ROW()-5,"0000"))</f>
        <v/>
      </c>
      <c r="B379" s="64"/>
      <c r="C379" s="65" t="str">
        <f aca="false">IF($B379="","",MONTH($B379))</f>
        <v/>
      </c>
      <c r="D379" s="66"/>
      <c r="E379" s="66"/>
      <c r="F379" s="66"/>
      <c r="G379" s="66"/>
      <c r="H379" s="66"/>
      <c r="I379" s="66"/>
      <c r="J379" s="67"/>
      <c r="K379" s="68"/>
      <c r="L379" s="4"/>
      <c r="M379" s="4"/>
      <c r="N379" s="4"/>
      <c r="O379" s="4"/>
      <c r="P379" s="4"/>
      <c r="Q379" s="4"/>
    </row>
    <row r="380" customFormat="false" ht="18" hidden="false" customHeight="true" outlineLevel="0" collapsed="false">
      <c r="A380" s="63" t="str">
        <f aca="false">IF($B380="","","PM-"&amp;TEXT(ROW()-5,"0000"))</f>
        <v/>
      </c>
      <c r="B380" s="69"/>
      <c r="C380" s="65" t="str">
        <f aca="false">IF($B380="","",MONTH($B380))</f>
        <v/>
      </c>
      <c r="D380" s="70"/>
      <c r="E380" s="70"/>
      <c r="F380" s="70"/>
      <c r="G380" s="70"/>
      <c r="H380" s="70"/>
      <c r="I380" s="70"/>
      <c r="J380" s="71"/>
      <c r="K380" s="72"/>
      <c r="L380" s="4"/>
      <c r="M380" s="4"/>
      <c r="N380" s="4"/>
      <c r="O380" s="4"/>
      <c r="P380" s="4"/>
      <c r="Q380" s="4"/>
    </row>
    <row r="381" customFormat="false" ht="18" hidden="false" customHeight="true" outlineLevel="0" collapsed="false">
      <c r="A381" s="63" t="str">
        <f aca="false">IF($B381="","","PM-"&amp;TEXT(ROW()-5,"0000"))</f>
        <v/>
      </c>
      <c r="B381" s="64"/>
      <c r="C381" s="65" t="str">
        <f aca="false">IF($B381="","",MONTH($B381))</f>
        <v/>
      </c>
      <c r="D381" s="66"/>
      <c r="E381" s="66"/>
      <c r="F381" s="66"/>
      <c r="G381" s="66"/>
      <c r="H381" s="66"/>
      <c r="I381" s="66"/>
      <c r="J381" s="67"/>
      <c r="K381" s="68"/>
      <c r="L381" s="4"/>
      <c r="M381" s="4"/>
      <c r="N381" s="4"/>
      <c r="O381" s="4"/>
      <c r="P381" s="4"/>
      <c r="Q381" s="4"/>
    </row>
    <row r="382" customFormat="false" ht="18" hidden="false" customHeight="true" outlineLevel="0" collapsed="false">
      <c r="A382" s="63" t="str">
        <f aca="false">IF($B382="","","PM-"&amp;TEXT(ROW()-5,"0000"))</f>
        <v/>
      </c>
      <c r="B382" s="69"/>
      <c r="C382" s="65" t="str">
        <f aca="false">IF($B382="","",MONTH($B382))</f>
        <v/>
      </c>
      <c r="D382" s="70"/>
      <c r="E382" s="70"/>
      <c r="F382" s="70"/>
      <c r="G382" s="70"/>
      <c r="H382" s="70"/>
      <c r="I382" s="70"/>
      <c r="J382" s="71"/>
      <c r="K382" s="72"/>
      <c r="L382" s="4"/>
      <c r="M382" s="4"/>
      <c r="N382" s="4"/>
      <c r="O382" s="4"/>
      <c r="P382" s="4"/>
      <c r="Q382" s="4"/>
    </row>
    <row r="383" customFormat="false" ht="18" hidden="false" customHeight="true" outlineLevel="0" collapsed="false">
      <c r="A383" s="63" t="str">
        <f aca="false">IF($B383="","","PM-"&amp;TEXT(ROW()-5,"0000"))</f>
        <v/>
      </c>
      <c r="B383" s="64"/>
      <c r="C383" s="65" t="str">
        <f aca="false">IF($B383="","",MONTH($B383))</f>
        <v/>
      </c>
      <c r="D383" s="66"/>
      <c r="E383" s="66"/>
      <c r="F383" s="66"/>
      <c r="G383" s="66"/>
      <c r="H383" s="66"/>
      <c r="I383" s="66"/>
      <c r="J383" s="67"/>
      <c r="K383" s="68"/>
      <c r="L383" s="4"/>
      <c r="M383" s="4"/>
      <c r="N383" s="4"/>
      <c r="O383" s="4"/>
      <c r="P383" s="4"/>
      <c r="Q383" s="4"/>
    </row>
    <row r="384" customFormat="false" ht="18" hidden="false" customHeight="true" outlineLevel="0" collapsed="false">
      <c r="A384" s="63" t="str">
        <f aca="false">IF($B384="","","PM-"&amp;TEXT(ROW()-5,"0000"))</f>
        <v/>
      </c>
      <c r="B384" s="69"/>
      <c r="C384" s="65" t="str">
        <f aca="false">IF($B384="","",MONTH($B384))</f>
        <v/>
      </c>
      <c r="D384" s="70"/>
      <c r="E384" s="70"/>
      <c r="F384" s="70"/>
      <c r="G384" s="70"/>
      <c r="H384" s="70"/>
      <c r="I384" s="70"/>
      <c r="J384" s="71"/>
      <c r="K384" s="72"/>
      <c r="L384" s="4"/>
      <c r="M384" s="4"/>
      <c r="N384" s="4"/>
      <c r="O384" s="4"/>
      <c r="P384" s="4"/>
      <c r="Q384" s="4"/>
    </row>
    <row r="385" customFormat="false" ht="18" hidden="false" customHeight="true" outlineLevel="0" collapsed="false">
      <c r="A385" s="63" t="str">
        <f aca="false">IF($B385="","","PM-"&amp;TEXT(ROW()-5,"0000"))</f>
        <v/>
      </c>
      <c r="B385" s="64"/>
      <c r="C385" s="65" t="str">
        <f aca="false">IF($B385="","",MONTH($B385))</f>
        <v/>
      </c>
      <c r="D385" s="66"/>
      <c r="E385" s="66"/>
      <c r="F385" s="66"/>
      <c r="G385" s="66"/>
      <c r="H385" s="66"/>
      <c r="I385" s="66"/>
      <c r="J385" s="67"/>
      <c r="K385" s="68"/>
      <c r="L385" s="4"/>
      <c r="M385" s="4"/>
      <c r="N385" s="4"/>
      <c r="O385" s="4"/>
      <c r="P385" s="4"/>
      <c r="Q385" s="4"/>
    </row>
    <row r="386" customFormat="false" ht="18" hidden="false" customHeight="true" outlineLevel="0" collapsed="false">
      <c r="A386" s="63" t="str">
        <f aca="false">IF($B386="","","PM-"&amp;TEXT(ROW()-5,"0000"))</f>
        <v/>
      </c>
      <c r="B386" s="69"/>
      <c r="C386" s="65" t="str">
        <f aca="false">IF($B386="","",MONTH($B386))</f>
        <v/>
      </c>
      <c r="D386" s="70"/>
      <c r="E386" s="70"/>
      <c r="F386" s="70"/>
      <c r="G386" s="70"/>
      <c r="H386" s="70"/>
      <c r="I386" s="70"/>
      <c r="J386" s="71"/>
      <c r="K386" s="72"/>
      <c r="L386" s="4"/>
      <c r="M386" s="4"/>
      <c r="N386" s="4"/>
      <c r="O386" s="4"/>
      <c r="P386" s="4"/>
      <c r="Q386" s="4"/>
    </row>
    <row r="387" customFormat="false" ht="18" hidden="false" customHeight="true" outlineLevel="0" collapsed="false">
      <c r="A387" s="63" t="str">
        <f aca="false">IF($B387="","","PM-"&amp;TEXT(ROW()-5,"0000"))</f>
        <v/>
      </c>
      <c r="B387" s="64"/>
      <c r="C387" s="65" t="str">
        <f aca="false">IF($B387="","",MONTH($B387))</f>
        <v/>
      </c>
      <c r="D387" s="66"/>
      <c r="E387" s="66"/>
      <c r="F387" s="66"/>
      <c r="G387" s="66"/>
      <c r="H387" s="66"/>
      <c r="I387" s="66"/>
      <c r="J387" s="67"/>
      <c r="K387" s="68"/>
      <c r="L387" s="4"/>
      <c r="M387" s="4"/>
      <c r="N387" s="4"/>
      <c r="O387" s="4"/>
      <c r="P387" s="4"/>
      <c r="Q387" s="4"/>
    </row>
    <row r="388" customFormat="false" ht="18" hidden="false" customHeight="true" outlineLevel="0" collapsed="false">
      <c r="A388" s="63" t="str">
        <f aca="false">IF($B388="","","PM-"&amp;TEXT(ROW()-5,"0000"))</f>
        <v/>
      </c>
      <c r="B388" s="69"/>
      <c r="C388" s="65" t="str">
        <f aca="false">IF($B388="","",MONTH($B388))</f>
        <v/>
      </c>
      <c r="D388" s="70"/>
      <c r="E388" s="70"/>
      <c r="F388" s="70"/>
      <c r="G388" s="70"/>
      <c r="H388" s="70"/>
      <c r="I388" s="70"/>
      <c r="J388" s="71"/>
      <c r="K388" s="72"/>
      <c r="L388" s="4"/>
      <c r="M388" s="4"/>
      <c r="N388" s="4"/>
      <c r="O388" s="4"/>
      <c r="P388" s="4"/>
      <c r="Q388" s="4"/>
    </row>
    <row r="389" customFormat="false" ht="18" hidden="false" customHeight="true" outlineLevel="0" collapsed="false">
      <c r="A389" s="63" t="str">
        <f aca="false">IF($B389="","","PM-"&amp;TEXT(ROW()-5,"0000"))</f>
        <v/>
      </c>
      <c r="B389" s="64"/>
      <c r="C389" s="65" t="str">
        <f aca="false">IF($B389="","",MONTH($B389))</f>
        <v/>
      </c>
      <c r="D389" s="66"/>
      <c r="E389" s="66"/>
      <c r="F389" s="66"/>
      <c r="G389" s="66"/>
      <c r="H389" s="66"/>
      <c r="I389" s="66"/>
      <c r="J389" s="67"/>
      <c r="K389" s="68"/>
      <c r="L389" s="4"/>
      <c r="M389" s="4"/>
      <c r="N389" s="4"/>
      <c r="O389" s="4"/>
      <c r="P389" s="4"/>
      <c r="Q389" s="4"/>
    </row>
    <row r="390" customFormat="false" ht="18" hidden="false" customHeight="true" outlineLevel="0" collapsed="false">
      <c r="A390" s="63" t="str">
        <f aca="false">IF($B390="","","PM-"&amp;TEXT(ROW()-5,"0000"))</f>
        <v/>
      </c>
      <c r="B390" s="69"/>
      <c r="C390" s="65" t="str">
        <f aca="false">IF($B390="","",MONTH($B390))</f>
        <v/>
      </c>
      <c r="D390" s="70"/>
      <c r="E390" s="70"/>
      <c r="F390" s="70"/>
      <c r="G390" s="70"/>
      <c r="H390" s="70"/>
      <c r="I390" s="70"/>
      <c r="J390" s="71"/>
      <c r="K390" s="72"/>
      <c r="L390" s="4"/>
      <c r="M390" s="4"/>
      <c r="N390" s="4"/>
      <c r="O390" s="4"/>
      <c r="P390" s="4"/>
      <c r="Q390" s="4"/>
    </row>
    <row r="391" customFormat="false" ht="18" hidden="false" customHeight="true" outlineLevel="0" collapsed="false">
      <c r="A391" s="63" t="str">
        <f aca="false">IF($B391="","","PM-"&amp;TEXT(ROW()-5,"0000"))</f>
        <v/>
      </c>
      <c r="B391" s="64"/>
      <c r="C391" s="65" t="str">
        <f aca="false">IF($B391="","",MONTH($B391))</f>
        <v/>
      </c>
      <c r="D391" s="66"/>
      <c r="E391" s="66"/>
      <c r="F391" s="66"/>
      <c r="G391" s="66"/>
      <c r="H391" s="66"/>
      <c r="I391" s="66"/>
      <c r="J391" s="67"/>
      <c r="K391" s="68"/>
      <c r="L391" s="4"/>
      <c r="M391" s="4"/>
      <c r="N391" s="4"/>
      <c r="O391" s="4"/>
      <c r="P391" s="4"/>
      <c r="Q391" s="4"/>
    </row>
    <row r="392" customFormat="false" ht="18" hidden="false" customHeight="true" outlineLevel="0" collapsed="false">
      <c r="A392" s="63" t="str">
        <f aca="false">IF($B392="","","PM-"&amp;TEXT(ROW()-5,"0000"))</f>
        <v/>
      </c>
      <c r="B392" s="69"/>
      <c r="C392" s="65" t="str">
        <f aca="false">IF($B392="","",MONTH($B392))</f>
        <v/>
      </c>
      <c r="D392" s="70"/>
      <c r="E392" s="70"/>
      <c r="F392" s="70"/>
      <c r="G392" s="70"/>
      <c r="H392" s="70"/>
      <c r="I392" s="70"/>
      <c r="J392" s="71"/>
      <c r="K392" s="72"/>
      <c r="L392" s="4"/>
      <c r="M392" s="4"/>
      <c r="N392" s="4"/>
      <c r="O392" s="4"/>
      <c r="P392" s="4"/>
      <c r="Q392" s="4"/>
    </row>
    <row r="393" customFormat="false" ht="18" hidden="false" customHeight="true" outlineLevel="0" collapsed="false">
      <c r="A393" s="63" t="str">
        <f aca="false">IF($B393="","","PM-"&amp;TEXT(ROW()-5,"0000"))</f>
        <v/>
      </c>
      <c r="B393" s="64"/>
      <c r="C393" s="65" t="str">
        <f aca="false">IF($B393="","",MONTH($B393))</f>
        <v/>
      </c>
      <c r="D393" s="66"/>
      <c r="E393" s="66"/>
      <c r="F393" s="66"/>
      <c r="G393" s="66"/>
      <c r="H393" s="66"/>
      <c r="I393" s="66"/>
      <c r="J393" s="67"/>
      <c r="K393" s="68"/>
      <c r="L393" s="4"/>
      <c r="M393" s="4"/>
      <c r="N393" s="4"/>
      <c r="O393" s="4"/>
      <c r="P393" s="4"/>
      <c r="Q393" s="4"/>
    </row>
    <row r="394" customFormat="false" ht="18" hidden="false" customHeight="true" outlineLevel="0" collapsed="false">
      <c r="A394" s="63" t="str">
        <f aca="false">IF($B394="","","PM-"&amp;TEXT(ROW()-5,"0000"))</f>
        <v/>
      </c>
      <c r="B394" s="69"/>
      <c r="C394" s="65" t="str">
        <f aca="false">IF($B394="","",MONTH($B394))</f>
        <v/>
      </c>
      <c r="D394" s="70"/>
      <c r="E394" s="70"/>
      <c r="F394" s="70"/>
      <c r="G394" s="70"/>
      <c r="H394" s="70"/>
      <c r="I394" s="70"/>
      <c r="J394" s="71"/>
      <c r="K394" s="72"/>
      <c r="L394" s="4"/>
      <c r="M394" s="4"/>
      <c r="N394" s="4"/>
      <c r="O394" s="4"/>
      <c r="P394" s="4"/>
      <c r="Q394" s="4"/>
    </row>
    <row r="395" customFormat="false" ht="18" hidden="false" customHeight="true" outlineLevel="0" collapsed="false">
      <c r="A395" s="63" t="str">
        <f aca="false">IF($B395="","","PM-"&amp;TEXT(ROW()-5,"0000"))</f>
        <v/>
      </c>
      <c r="B395" s="64"/>
      <c r="C395" s="65" t="str">
        <f aca="false">IF($B395="","",MONTH($B395))</f>
        <v/>
      </c>
      <c r="D395" s="66"/>
      <c r="E395" s="66"/>
      <c r="F395" s="66"/>
      <c r="G395" s="66"/>
      <c r="H395" s="66"/>
      <c r="I395" s="66"/>
      <c r="J395" s="67"/>
      <c r="K395" s="68"/>
      <c r="L395" s="4"/>
      <c r="M395" s="4"/>
      <c r="N395" s="4"/>
      <c r="O395" s="4"/>
      <c r="P395" s="4"/>
      <c r="Q395" s="4"/>
    </row>
    <row r="396" customFormat="false" ht="18" hidden="false" customHeight="true" outlineLevel="0" collapsed="false">
      <c r="A396" s="63" t="str">
        <f aca="false">IF($B396="","","PM-"&amp;TEXT(ROW()-5,"0000"))</f>
        <v/>
      </c>
      <c r="B396" s="69"/>
      <c r="C396" s="65" t="str">
        <f aca="false">IF($B396="","",MONTH($B396))</f>
        <v/>
      </c>
      <c r="D396" s="70"/>
      <c r="E396" s="70"/>
      <c r="F396" s="70"/>
      <c r="G396" s="70"/>
      <c r="H396" s="70"/>
      <c r="I396" s="70"/>
      <c r="J396" s="71"/>
      <c r="K396" s="72"/>
      <c r="L396" s="4"/>
      <c r="M396" s="4"/>
      <c r="N396" s="4"/>
      <c r="O396" s="4"/>
      <c r="P396" s="4"/>
      <c r="Q396" s="4"/>
    </row>
    <row r="397" customFormat="false" ht="18" hidden="false" customHeight="true" outlineLevel="0" collapsed="false">
      <c r="A397" s="63" t="str">
        <f aca="false">IF($B397="","","PM-"&amp;TEXT(ROW()-5,"0000"))</f>
        <v/>
      </c>
      <c r="B397" s="64"/>
      <c r="C397" s="65" t="str">
        <f aca="false">IF($B397="","",MONTH($B397))</f>
        <v/>
      </c>
      <c r="D397" s="66"/>
      <c r="E397" s="66"/>
      <c r="F397" s="66"/>
      <c r="G397" s="66"/>
      <c r="H397" s="66"/>
      <c r="I397" s="66"/>
      <c r="J397" s="67"/>
      <c r="K397" s="68"/>
      <c r="L397" s="4"/>
      <c r="M397" s="4"/>
      <c r="N397" s="4"/>
      <c r="O397" s="4"/>
      <c r="P397" s="4"/>
      <c r="Q397" s="4"/>
    </row>
    <row r="398" customFormat="false" ht="18" hidden="false" customHeight="true" outlineLevel="0" collapsed="false">
      <c r="A398" s="63" t="str">
        <f aca="false">IF($B398="","","PM-"&amp;TEXT(ROW()-5,"0000"))</f>
        <v/>
      </c>
      <c r="B398" s="69"/>
      <c r="C398" s="65" t="str">
        <f aca="false">IF($B398="","",MONTH($B398))</f>
        <v/>
      </c>
      <c r="D398" s="70"/>
      <c r="E398" s="70"/>
      <c r="F398" s="70"/>
      <c r="G398" s="70"/>
      <c r="H398" s="70"/>
      <c r="I398" s="70"/>
      <c r="J398" s="71"/>
      <c r="K398" s="72"/>
      <c r="L398" s="4"/>
      <c r="M398" s="4"/>
      <c r="N398" s="4"/>
      <c r="O398" s="4"/>
      <c r="P398" s="4"/>
      <c r="Q398" s="4"/>
    </row>
    <row r="399" customFormat="false" ht="18" hidden="false" customHeight="true" outlineLevel="0" collapsed="false">
      <c r="A399" s="63" t="str">
        <f aca="false">IF($B399="","","PM-"&amp;TEXT(ROW()-5,"0000"))</f>
        <v/>
      </c>
      <c r="B399" s="64"/>
      <c r="C399" s="65" t="str">
        <f aca="false">IF($B399="","",MONTH($B399))</f>
        <v/>
      </c>
      <c r="D399" s="66"/>
      <c r="E399" s="66"/>
      <c r="F399" s="66"/>
      <c r="G399" s="66"/>
      <c r="H399" s="66"/>
      <c r="I399" s="66"/>
      <c r="J399" s="67"/>
      <c r="K399" s="68"/>
      <c r="L399" s="4"/>
      <c r="M399" s="4"/>
      <c r="N399" s="4"/>
      <c r="O399" s="4"/>
      <c r="P399" s="4"/>
      <c r="Q399" s="4"/>
    </row>
    <row r="400" customFormat="false" ht="18" hidden="false" customHeight="true" outlineLevel="0" collapsed="false">
      <c r="A400" s="63" t="str">
        <f aca="false">IF($B400="","","PM-"&amp;TEXT(ROW()-5,"0000"))</f>
        <v/>
      </c>
      <c r="B400" s="69"/>
      <c r="C400" s="65" t="str">
        <f aca="false">IF($B400="","",MONTH($B400))</f>
        <v/>
      </c>
      <c r="D400" s="70"/>
      <c r="E400" s="70"/>
      <c r="F400" s="70"/>
      <c r="G400" s="70"/>
      <c r="H400" s="70"/>
      <c r="I400" s="70"/>
      <c r="J400" s="71"/>
      <c r="K400" s="72"/>
      <c r="L400" s="4"/>
      <c r="M400" s="4"/>
      <c r="N400" s="4"/>
      <c r="O400" s="4"/>
      <c r="P400" s="4"/>
      <c r="Q400" s="4"/>
    </row>
    <row r="401" customFormat="false" ht="14.25" hidden="false" customHeight="false" outlineLevel="0" collapsed="false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customFormat="false" ht="14.25" hidden="false" customHeight="false" outlineLevel="0" collapsed="false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customFormat="false" ht="14.25" hidden="false" customHeight="false" outlineLevel="0" collapsed="false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customFormat="false" ht="14.25" hidden="false" customHeight="false" outlineLevel="0" collapsed="false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</sheetData>
  <autoFilter ref="A5:K400"/>
  <mergeCells count="8">
    <mergeCell ref="A1:I1"/>
    <mergeCell ref="J1:K1"/>
    <mergeCell ref="A2:K2"/>
    <mergeCell ref="A3:B3"/>
    <mergeCell ref="C3:D3"/>
    <mergeCell ref="E3:F3"/>
    <mergeCell ref="H3:I3"/>
    <mergeCell ref="J3:K3"/>
  </mergeCells>
  <conditionalFormatting sqref="J6:J400">
    <cfRule type="dataBar" priority="2">
      <dataBar showValue="1" minLength="10" maxLength="90">
        <cfvo type="num" val="0"/>
        <cfvo type="max" val="0"/>
        <color rgb="FFE8CE79"/>
      </dataBar>
      <extLst>
        <ext xmlns:x14="http://schemas.microsoft.com/office/spreadsheetml/2009/9/main" uri="{B025F937-C7B1-47D3-B67F-A62EFF666E3E}">
          <x14:id>{132F694E-6F52-47CE-BA1A-6344BEC033F7}</x14:id>
        </ext>
      </extLst>
    </cfRule>
  </conditionalFormatting>
  <dataValidations count="6">
    <dataValidation allowBlank="true" error="Pilih dari daftar Master Data." errorStyle="stop" errorTitle="Data tidak valid" operator="between" showDropDown="false" showErrorMessage="true" showInputMessage="false" sqref="D6:D400" type="list">
      <formula1>JenisDana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E6:E400" type="list">
      <formula1>KatPenerimaan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F6:F400" type="list">
      <formula1>ProgramList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G6:G400" type="list">
      <formula1>DonaturList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H6:H400" type="list">
      <formula1>MetodeList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I6:I400" type="list">
      <formula1>BankList</formula1>
      <formula2>0</formula2>
    </dataValidation>
  </dataValidations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2F694E-6F52-47CE-BA1A-6344BEC033F7}">
            <x14:dataBar minLength="10" maxLength="90" axisPosition="none" gradient="true">
              <x14:cfvo type="num">
                <xm:f>0</xm:f>
              </x14:cfvo>
              <x14:cfvo type="max"/>
              <x14:negativeFillColor rgb="FFE8CE79"/>
              <x14:axisColor rgb="FF000000"/>
            </x14:dataBar>
          </x14:cfRule>
          <xm:sqref>J6:J400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true"/>
  </sheetPr>
  <dimension ref="A1:Q4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3"/>
    <col collapsed="false" customWidth="true" hidden="false" outlineLevel="0" max="3" min="3" style="0" width="5.51"/>
    <col collapsed="false" customWidth="true" hidden="false" outlineLevel="0" max="4" min="4" style="0" width="15"/>
    <col collapsed="false" customWidth="true" hidden="false" outlineLevel="0" max="5" min="5" style="0" width="21"/>
    <col collapsed="false" customWidth="true" hidden="false" outlineLevel="0" max="7" min="6" style="0" width="22"/>
    <col collapsed="false" customWidth="true" hidden="false" outlineLevel="0" max="8" min="8" style="0" width="14"/>
    <col collapsed="false" customWidth="true" hidden="false" outlineLevel="0" max="9" min="9" style="0" width="21"/>
    <col collapsed="false" customWidth="true" hidden="false" outlineLevel="0" max="10" min="10" style="0" width="17"/>
    <col collapsed="false" customWidth="true" hidden="false" outlineLevel="0" max="11" min="11" style="0" width="34"/>
  </cols>
  <sheetData>
    <row r="1" customFormat="false" ht="33.75" hidden="false" customHeight="true" outlineLevel="0" collapsed="false">
      <c r="A1" s="2" t="s">
        <v>152</v>
      </c>
      <c r="B1" s="2"/>
      <c r="C1" s="2"/>
      <c r="D1" s="2"/>
      <c r="E1" s="2"/>
      <c r="F1" s="2"/>
      <c r="G1" s="2"/>
      <c r="H1" s="2"/>
      <c r="I1" s="2"/>
      <c r="J1" s="28" t="str">
        <f aca="false">HYPERLINK("#Beranda!A1","⌂  Beranda")</f>
        <v>⌂  Beranda</v>
      </c>
      <c r="K1" s="28"/>
      <c r="L1" s="4"/>
      <c r="M1" s="4"/>
      <c r="N1" s="4"/>
      <c r="O1" s="4"/>
      <c r="P1" s="4"/>
      <c r="Q1" s="4"/>
    </row>
    <row r="2" customFormat="false" ht="15.75" hidden="false" customHeight="true" outlineLevel="0" collapsed="false">
      <c r="A2" s="5" t="s">
        <v>119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</row>
    <row r="3" customFormat="false" ht="25.5" hidden="false" customHeight="true" outlineLevel="0" collapsed="false">
      <c r="A3" s="53" t="s">
        <v>153</v>
      </c>
      <c r="B3" s="53"/>
      <c r="C3" s="73" t="n">
        <f aca="false">SUM(J6:J400)</f>
        <v>135235000</v>
      </c>
      <c r="D3" s="73"/>
      <c r="E3" s="53" t="s">
        <v>121</v>
      </c>
      <c r="F3" s="53"/>
      <c r="G3" s="74" t="n">
        <f aca="false">COUNT($B$6:$B$400)</f>
        <v>49</v>
      </c>
      <c r="H3" s="53" t="s">
        <v>122</v>
      </c>
      <c r="I3" s="53"/>
      <c r="J3" s="73" t="n">
        <f aca="false">IF($G$3=0,0,$C$3/$G$3)</f>
        <v>2759897.95918367</v>
      </c>
      <c r="K3" s="73"/>
      <c r="L3" s="4"/>
      <c r="M3" s="4"/>
      <c r="N3" s="4"/>
      <c r="O3" s="4"/>
      <c r="P3" s="4"/>
      <c r="Q3" s="4"/>
    </row>
    <row r="4" customFormat="false" ht="7.5" hidden="false" customHeight="true" outlineLevel="0" collapsed="false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4"/>
      <c r="M4" s="4"/>
      <c r="N4" s="4"/>
      <c r="O4" s="4"/>
      <c r="P4" s="4"/>
      <c r="Q4" s="4"/>
    </row>
    <row r="5" customFormat="false" ht="27.75" hidden="false" customHeight="true" outlineLevel="0" collapsed="false">
      <c r="A5" s="56" t="s">
        <v>123</v>
      </c>
      <c r="B5" s="56" t="s">
        <v>124</v>
      </c>
      <c r="C5" s="56" t="s">
        <v>125</v>
      </c>
      <c r="D5" s="56" t="s">
        <v>126</v>
      </c>
      <c r="E5" s="56" t="s">
        <v>127</v>
      </c>
      <c r="F5" s="56" t="s">
        <v>128</v>
      </c>
      <c r="G5" s="56" t="s">
        <v>154</v>
      </c>
      <c r="H5" s="56" t="s">
        <v>130</v>
      </c>
      <c r="I5" s="56" t="s">
        <v>131</v>
      </c>
      <c r="J5" s="56" t="s">
        <v>132</v>
      </c>
      <c r="K5" s="56" t="s">
        <v>133</v>
      </c>
      <c r="L5" s="4"/>
      <c r="M5" s="4"/>
      <c r="N5" s="4"/>
      <c r="O5" s="4"/>
      <c r="P5" s="4"/>
      <c r="Q5" s="4"/>
    </row>
    <row r="6" customFormat="false" ht="18" hidden="false" customHeight="true" outlineLevel="0" collapsed="false">
      <c r="A6" s="57" t="str">
        <f aca="false">IF($B6="","","PG-"&amp;TEXT(ROW()-5,"0000"))</f>
        <v>PG-0001</v>
      </c>
      <c r="B6" s="58" t="n">
        <v>46023</v>
      </c>
      <c r="C6" s="59" t="n">
        <f aca="false">IF($B6="","",MONTH($B6))</f>
        <v>1</v>
      </c>
      <c r="D6" s="60" t="s">
        <v>50</v>
      </c>
      <c r="E6" s="60" t="s">
        <v>69</v>
      </c>
      <c r="F6" s="60" t="s">
        <v>54</v>
      </c>
      <c r="G6" s="60" t="s">
        <v>78</v>
      </c>
      <c r="H6" s="60" t="s">
        <v>55</v>
      </c>
      <c r="I6" s="60"/>
      <c r="J6" s="61" t="n">
        <v>2000000</v>
      </c>
      <c r="K6" s="62" t="s">
        <v>155</v>
      </c>
      <c r="L6" s="4"/>
      <c r="M6" s="4"/>
      <c r="N6" s="4"/>
      <c r="O6" s="4"/>
      <c r="P6" s="4"/>
      <c r="Q6" s="4"/>
    </row>
    <row r="7" customFormat="false" ht="18" hidden="false" customHeight="true" outlineLevel="0" collapsed="false">
      <c r="A7" s="63" t="str">
        <f aca="false">IF($B7="","","PG-"&amp;TEXT(ROW()-5,"0000"))</f>
        <v>PG-0002</v>
      </c>
      <c r="B7" s="64" t="n">
        <v>46023</v>
      </c>
      <c r="C7" s="65" t="n">
        <f aca="false">IF($B7="","",MONTH($B7))</f>
        <v>1</v>
      </c>
      <c r="D7" s="66" t="s">
        <v>50</v>
      </c>
      <c r="E7" s="66" t="s">
        <v>69</v>
      </c>
      <c r="F7" s="66" t="s">
        <v>54</v>
      </c>
      <c r="G7" s="66" t="s">
        <v>84</v>
      </c>
      <c r="H7" s="66" t="s">
        <v>55</v>
      </c>
      <c r="I7" s="66"/>
      <c r="J7" s="67" t="n">
        <v>1500000</v>
      </c>
      <c r="K7" s="68" t="s">
        <v>156</v>
      </c>
      <c r="L7" s="4"/>
      <c r="M7" s="4"/>
      <c r="N7" s="4"/>
      <c r="O7" s="4"/>
      <c r="P7" s="4"/>
      <c r="Q7" s="4"/>
    </row>
    <row r="8" customFormat="false" ht="18" hidden="false" customHeight="true" outlineLevel="0" collapsed="false">
      <c r="A8" s="63" t="str">
        <f aca="false">IF($B8="","","PG-"&amp;TEXT(ROW()-5,"0000"))</f>
        <v>PG-0003</v>
      </c>
      <c r="B8" s="69" t="n">
        <v>46025</v>
      </c>
      <c r="C8" s="65" t="n">
        <f aca="false">IF($B8="","",MONTH($B8))</f>
        <v>1</v>
      </c>
      <c r="D8" s="70" t="s">
        <v>50</v>
      </c>
      <c r="E8" s="70" t="s">
        <v>53</v>
      </c>
      <c r="F8" s="70" t="s">
        <v>54</v>
      </c>
      <c r="G8" s="70" t="s">
        <v>73</v>
      </c>
      <c r="H8" s="70" t="s">
        <v>64</v>
      </c>
      <c r="I8" s="70" t="s">
        <v>56</v>
      </c>
      <c r="J8" s="71" t="n">
        <v>1285000</v>
      </c>
      <c r="K8" s="72" t="s">
        <v>157</v>
      </c>
      <c r="L8" s="4"/>
      <c r="M8" s="4"/>
      <c r="N8" s="4"/>
      <c r="O8" s="4"/>
      <c r="P8" s="4"/>
      <c r="Q8" s="4"/>
    </row>
    <row r="9" customFormat="false" ht="18" hidden="false" customHeight="true" outlineLevel="0" collapsed="false">
      <c r="A9" s="63" t="str">
        <f aca="false">IF($B9="","","PG-"&amp;TEXT(ROW()-5,"0000"))</f>
        <v>PG-0004</v>
      </c>
      <c r="B9" s="64" t="n">
        <v>46032</v>
      </c>
      <c r="C9" s="65" t="n">
        <f aca="false">IF($B9="","",MONTH($B9))</f>
        <v>1</v>
      </c>
      <c r="D9" s="66" t="s">
        <v>50</v>
      </c>
      <c r="E9" s="66" t="s">
        <v>62</v>
      </c>
      <c r="F9" s="66" t="s">
        <v>54</v>
      </c>
      <c r="G9" s="66" t="s">
        <v>84</v>
      </c>
      <c r="H9" s="66" t="s">
        <v>55</v>
      </c>
      <c r="I9" s="66"/>
      <c r="J9" s="67" t="n">
        <v>450000</v>
      </c>
      <c r="K9" s="68" t="s">
        <v>158</v>
      </c>
      <c r="L9" s="4"/>
      <c r="M9" s="4"/>
      <c r="N9" s="4"/>
      <c r="O9" s="4"/>
      <c r="P9" s="4"/>
      <c r="Q9" s="4"/>
    </row>
    <row r="10" customFormat="false" ht="18" hidden="false" customHeight="true" outlineLevel="0" collapsed="false">
      <c r="A10" s="63" t="str">
        <f aca="false">IF($B10="","","PG-"&amp;TEXT(ROW()-5,"0000"))</f>
        <v>PG-0005</v>
      </c>
      <c r="B10" s="69" t="n">
        <v>46034</v>
      </c>
      <c r="C10" s="65" t="n">
        <f aca="false">IF($B10="","",MONTH($B10))</f>
        <v>1</v>
      </c>
      <c r="D10" s="70" t="s">
        <v>74</v>
      </c>
      <c r="E10" s="70" t="s">
        <v>76</v>
      </c>
      <c r="F10" s="70" t="s">
        <v>77</v>
      </c>
      <c r="G10" s="70" t="s">
        <v>90</v>
      </c>
      <c r="H10" s="70" t="s">
        <v>55</v>
      </c>
      <c r="I10" s="70"/>
      <c r="J10" s="71" t="n">
        <v>850000</v>
      </c>
      <c r="K10" s="72" t="s">
        <v>159</v>
      </c>
      <c r="L10" s="4"/>
      <c r="M10" s="4"/>
      <c r="N10" s="4"/>
      <c r="O10" s="4"/>
      <c r="P10" s="4"/>
      <c r="Q10" s="4"/>
    </row>
    <row r="11" customFormat="false" ht="18" hidden="false" customHeight="true" outlineLevel="0" collapsed="false">
      <c r="A11" s="63" t="str">
        <f aca="false">IF($B11="","","PG-"&amp;TEXT(ROW()-5,"0000"))</f>
        <v>PG-0006</v>
      </c>
      <c r="B11" s="64" t="n">
        <v>46037</v>
      </c>
      <c r="C11" s="65" t="n">
        <f aca="false">IF($B11="","",MONTH($B11))</f>
        <v>1</v>
      </c>
      <c r="D11" s="66" t="s">
        <v>74</v>
      </c>
      <c r="E11" s="66" t="s">
        <v>81</v>
      </c>
      <c r="F11" s="66" t="s">
        <v>82</v>
      </c>
      <c r="G11" s="66" t="s">
        <v>78</v>
      </c>
      <c r="H11" s="66" t="s">
        <v>55</v>
      </c>
      <c r="I11" s="66"/>
      <c r="J11" s="67" t="n">
        <v>1200000</v>
      </c>
      <c r="K11" s="68" t="s">
        <v>160</v>
      </c>
      <c r="L11" s="4"/>
      <c r="M11" s="4"/>
      <c r="N11" s="4"/>
      <c r="O11" s="4"/>
      <c r="P11" s="4"/>
      <c r="Q11" s="4"/>
    </row>
    <row r="12" customFormat="false" ht="18" hidden="false" customHeight="true" outlineLevel="0" collapsed="false">
      <c r="A12" s="63" t="str">
        <f aca="false">IF($B12="","","PG-"&amp;TEXT(ROW()-5,"0000"))</f>
        <v>PG-0007</v>
      </c>
      <c r="B12" s="69" t="n">
        <v>46042</v>
      </c>
      <c r="C12" s="65" t="n">
        <f aca="false">IF($B12="","",MONTH($B12))</f>
        <v>1</v>
      </c>
      <c r="D12" s="70" t="s">
        <v>79</v>
      </c>
      <c r="E12" s="70" t="s">
        <v>87</v>
      </c>
      <c r="F12" s="70" t="s">
        <v>88</v>
      </c>
      <c r="G12" s="70" t="s">
        <v>107</v>
      </c>
      <c r="H12" s="70" t="s">
        <v>55</v>
      </c>
      <c r="I12" s="70"/>
      <c r="J12" s="71" t="n">
        <v>2500000</v>
      </c>
      <c r="K12" s="72" t="s">
        <v>161</v>
      </c>
      <c r="L12" s="4"/>
      <c r="M12" s="4"/>
      <c r="N12" s="4"/>
      <c r="O12" s="4"/>
      <c r="P12" s="4"/>
      <c r="Q12" s="4"/>
    </row>
    <row r="13" customFormat="false" ht="18" hidden="false" customHeight="true" outlineLevel="0" collapsed="false">
      <c r="A13" s="63" t="str">
        <f aca="false">IF($B13="","","PG-"&amp;TEXT(ROW()-5,"0000"))</f>
        <v>PG-0008</v>
      </c>
      <c r="B13" s="64" t="n">
        <v>46050</v>
      </c>
      <c r="C13" s="65" t="n">
        <f aca="false">IF($B13="","",MONTH($B13))</f>
        <v>1</v>
      </c>
      <c r="D13" s="66" t="s">
        <v>59</v>
      </c>
      <c r="E13" s="66" t="s">
        <v>59</v>
      </c>
      <c r="F13" s="66" t="s">
        <v>63</v>
      </c>
      <c r="G13" s="66" t="s">
        <v>58</v>
      </c>
      <c r="H13" s="66" t="s">
        <v>64</v>
      </c>
      <c r="I13" s="66" t="s">
        <v>56</v>
      </c>
      <c r="J13" s="67" t="n">
        <v>12500000</v>
      </c>
      <c r="K13" s="68" t="s">
        <v>162</v>
      </c>
      <c r="L13" s="4"/>
      <c r="M13" s="4"/>
      <c r="N13" s="4"/>
      <c r="O13" s="4"/>
      <c r="P13" s="4"/>
      <c r="Q13" s="4"/>
    </row>
    <row r="14" customFormat="false" ht="18" hidden="false" customHeight="true" outlineLevel="0" collapsed="false">
      <c r="A14" s="63" t="str">
        <f aca="false">IF($B14="","","PG-"&amp;TEXT(ROW()-5,"0000"))</f>
        <v>PG-0009</v>
      </c>
      <c r="B14" s="69" t="n">
        <v>46054</v>
      </c>
      <c r="C14" s="65" t="n">
        <f aca="false">IF($B14="","",MONTH($B14))</f>
        <v>2</v>
      </c>
      <c r="D14" s="70" t="s">
        <v>50</v>
      </c>
      <c r="E14" s="70" t="s">
        <v>69</v>
      </c>
      <c r="F14" s="70" t="s">
        <v>54</v>
      </c>
      <c r="G14" s="70" t="s">
        <v>78</v>
      </c>
      <c r="H14" s="70" t="s">
        <v>55</v>
      </c>
      <c r="I14" s="70"/>
      <c r="J14" s="71" t="n">
        <v>2000000</v>
      </c>
      <c r="K14" s="72" t="s">
        <v>155</v>
      </c>
      <c r="L14" s="4"/>
      <c r="M14" s="4"/>
      <c r="N14" s="4"/>
      <c r="O14" s="4"/>
      <c r="P14" s="4"/>
      <c r="Q14" s="4"/>
    </row>
    <row r="15" customFormat="false" ht="18" hidden="false" customHeight="true" outlineLevel="0" collapsed="false">
      <c r="A15" s="63" t="str">
        <f aca="false">IF($B15="","","PG-"&amp;TEXT(ROW()-5,"0000"))</f>
        <v>PG-0010</v>
      </c>
      <c r="B15" s="64" t="n">
        <v>46054</v>
      </c>
      <c r="C15" s="65" t="n">
        <f aca="false">IF($B15="","",MONTH($B15))</f>
        <v>2</v>
      </c>
      <c r="D15" s="66" t="s">
        <v>50</v>
      </c>
      <c r="E15" s="66" t="s">
        <v>69</v>
      </c>
      <c r="F15" s="66" t="s">
        <v>54</v>
      </c>
      <c r="G15" s="66" t="s">
        <v>84</v>
      </c>
      <c r="H15" s="66" t="s">
        <v>55</v>
      </c>
      <c r="I15" s="66"/>
      <c r="J15" s="67" t="n">
        <v>1500000</v>
      </c>
      <c r="K15" s="68" t="s">
        <v>156</v>
      </c>
      <c r="L15" s="4"/>
      <c r="M15" s="4"/>
      <c r="N15" s="4"/>
      <c r="O15" s="4"/>
      <c r="P15" s="4"/>
      <c r="Q15" s="4"/>
    </row>
    <row r="16" customFormat="false" ht="18" hidden="false" customHeight="true" outlineLevel="0" collapsed="false">
      <c r="A16" s="63" t="str">
        <f aca="false">IF($B16="","","PG-"&amp;TEXT(ROW()-5,"0000"))</f>
        <v>PG-0011</v>
      </c>
      <c r="B16" s="69" t="n">
        <v>46056</v>
      </c>
      <c r="C16" s="65" t="n">
        <f aca="false">IF($B16="","",MONTH($B16))</f>
        <v>2</v>
      </c>
      <c r="D16" s="70" t="s">
        <v>50</v>
      </c>
      <c r="E16" s="70" t="s">
        <v>53</v>
      </c>
      <c r="F16" s="70" t="s">
        <v>54</v>
      </c>
      <c r="G16" s="70" t="s">
        <v>73</v>
      </c>
      <c r="H16" s="70" t="s">
        <v>64</v>
      </c>
      <c r="I16" s="70" t="s">
        <v>56</v>
      </c>
      <c r="J16" s="71" t="n">
        <v>1320000</v>
      </c>
      <c r="K16" s="72" t="s">
        <v>157</v>
      </c>
      <c r="L16" s="4"/>
      <c r="M16" s="4"/>
      <c r="N16" s="4"/>
      <c r="O16" s="4"/>
      <c r="P16" s="4"/>
      <c r="Q16" s="4"/>
    </row>
    <row r="17" customFormat="false" ht="18" hidden="false" customHeight="true" outlineLevel="0" collapsed="false">
      <c r="A17" s="63" t="str">
        <f aca="false">IF($B17="","","PG-"&amp;TEXT(ROW()-5,"0000"))</f>
        <v>PG-0012</v>
      </c>
      <c r="B17" s="64" t="n">
        <v>46063</v>
      </c>
      <c r="C17" s="65" t="n">
        <f aca="false">IF($B17="","",MONTH($B17))</f>
        <v>2</v>
      </c>
      <c r="D17" s="66" t="s">
        <v>50</v>
      </c>
      <c r="E17" s="66" t="s">
        <v>62</v>
      </c>
      <c r="F17" s="66" t="s">
        <v>54</v>
      </c>
      <c r="G17" s="66" t="s">
        <v>84</v>
      </c>
      <c r="H17" s="66" t="s">
        <v>55</v>
      </c>
      <c r="I17" s="66"/>
      <c r="J17" s="67" t="n">
        <v>450000</v>
      </c>
      <c r="K17" s="68" t="s">
        <v>158</v>
      </c>
      <c r="L17" s="4"/>
      <c r="M17" s="4"/>
      <c r="N17" s="4"/>
      <c r="O17" s="4"/>
      <c r="P17" s="4"/>
      <c r="Q17" s="4"/>
    </row>
    <row r="18" customFormat="false" ht="18" hidden="false" customHeight="true" outlineLevel="0" collapsed="false">
      <c r="A18" s="63" t="str">
        <f aca="false">IF($B18="","","PG-"&amp;TEXT(ROW()-5,"0000"))</f>
        <v>PG-0013</v>
      </c>
      <c r="B18" s="69" t="n">
        <v>46065</v>
      </c>
      <c r="C18" s="65" t="n">
        <f aca="false">IF($B18="","",MONTH($B18))</f>
        <v>2</v>
      </c>
      <c r="D18" s="70" t="s">
        <v>74</v>
      </c>
      <c r="E18" s="70" t="s">
        <v>76</v>
      </c>
      <c r="F18" s="70" t="s">
        <v>77</v>
      </c>
      <c r="G18" s="70" t="s">
        <v>90</v>
      </c>
      <c r="H18" s="70" t="s">
        <v>55</v>
      </c>
      <c r="I18" s="70"/>
      <c r="J18" s="71" t="n">
        <v>850000</v>
      </c>
      <c r="K18" s="72" t="s">
        <v>159</v>
      </c>
      <c r="L18" s="4"/>
      <c r="M18" s="4"/>
      <c r="N18" s="4"/>
      <c r="O18" s="4"/>
      <c r="P18" s="4"/>
      <c r="Q18" s="4"/>
    </row>
    <row r="19" customFormat="false" ht="18" hidden="false" customHeight="true" outlineLevel="0" collapsed="false">
      <c r="A19" s="63" t="str">
        <f aca="false">IF($B19="","","PG-"&amp;TEXT(ROW()-5,"0000"))</f>
        <v>PG-0014</v>
      </c>
      <c r="B19" s="64" t="n">
        <v>46068</v>
      </c>
      <c r="C19" s="65" t="n">
        <f aca="false">IF($B19="","",MONTH($B19))</f>
        <v>2</v>
      </c>
      <c r="D19" s="66" t="s">
        <v>74</v>
      </c>
      <c r="E19" s="66" t="s">
        <v>81</v>
      </c>
      <c r="F19" s="66" t="s">
        <v>82</v>
      </c>
      <c r="G19" s="66" t="s">
        <v>78</v>
      </c>
      <c r="H19" s="66" t="s">
        <v>55</v>
      </c>
      <c r="I19" s="66"/>
      <c r="J19" s="67" t="n">
        <v>1200000</v>
      </c>
      <c r="K19" s="68" t="s">
        <v>160</v>
      </c>
      <c r="L19" s="4"/>
      <c r="M19" s="4"/>
      <c r="N19" s="4"/>
      <c r="O19" s="4"/>
      <c r="P19" s="4"/>
      <c r="Q19" s="4"/>
    </row>
    <row r="20" customFormat="false" ht="18" hidden="false" customHeight="true" outlineLevel="0" collapsed="false">
      <c r="A20" s="63" t="str">
        <f aca="false">IF($B20="","","PG-"&amp;TEXT(ROW()-5,"0000"))</f>
        <v>PG-0015</v>
      </c>
      <c r="B20" s="69" t="n">
        <v>46079</v>
      </c>
      <c r="C20" s="65" t="n">
        <f aca="false">IF($B20="","",MONTH($B20))</f>
        <v>2</v>
      </c>
      <c r="D20" s="70" t="s">
        <v>74</v>
      </c>
      <c r="E20" s="70" t="s">
        <v>93</v>
      </c>
      <c r="F20" s="70" t="s">
        <v>94</v>
      </c>
      <c r="G20" s="70" t="s">
        <v>96</v>
      </c>
      <c r="H20" s="70" t="s">
        <v>64</v>
      </c>
      <c r="I20" s="70" t="s">
        <v>56</v>
      </c>
      <c r="J20" s="71" t="n">
        <v>4200000</v>
      </c>
      <c r="K20" s="72" t="s">
        <v>163</v>
      </c>
      <c r="L20" s="4"/>
      <c r="M20" s="4"/>
      <c r="N20" s="4"/>
      <c r="O20" s="4"/>
      <c r="P20" s="4"/>
      <c r="Q20" s="4"/>
    </row>
    <row r="21" customFormat="false" ht="18" hidden="false" customHeight="true" outlineLevel="0" collapsed="false">
      <c r="A21" s="63" t="str">
        <f aca="false">IF($B21="","","PG-"&amp;TEXT(ROW()-5,"0000"))</f>
        <v>PG-0016</v>
      </c>
      <c r="B21" s="64" t="n">
        <v>46082</v>
      </c>
      <c r="C21" s="65" t="n">
        <f aca="false">IF($B21="","",MONTH($B21))</f>
        <v>3</v>
      </c>
      <c r="D21" s="66" t="s">
        <v>50</v>
      </c>
      <c r="E21" s="66" t="s">
        <v>69</v>
      </c>
      <c r="F21" s="66" t="s">
        <v>54</v>
      </c>
      <c r="G21" s="66" t="s">
        <v>78</v>
      </c>
      <c r="H21" s="66" t="s">
        <v>55</v>
      </c>
      <c r="I21" s="66"/>
      <c r="J21" s="67" t="n">
        <v>2000000</v>
      </c>
      <c r="K21" s="68" t="s">
        <v>155</v>
      </c>
      <c r="L21" s="4"/>
      <c r="M21" s="4"/>
      <c r="N21" s="4"/>
      <c r="O21" s="4"/>
      <c r="P21" s="4"/>
      <c r="Q21" s="4"/>
    </row>
    <row r="22" customFormat="false" ht="18" hidden="false" customHeight="true" outlineLevel="0" collapsed="false">
      <c r="A22" s="63" t="str">
        <f aca="false">IF($B22="","","PG-"&amp;TEXT(ROW()-5,"0000"))</f>
        <v>PG-0017</v>
      </c>
      <c r="B22" s="69" t="n">
        <v>46082</v>
      </c>
      <c r="C22" s="65" t="n">
        <f aca="false">IF($B22="","",MONTH($B22))</f>
        <v>3</v>
      </c>
      <c r="D22" s="70" t="s">
        <v>50</v>
      </c>
      <c r="E22" s="70" t="s">
        <v>69</v>
      </c>
      <c r="F22" s="70" t="s">
        <v>54</v>
      </c>
      <c r="G22" s="70" t="s">
        <v>84</v>
      </c>
      <c r="H22" s="70" t="s">
        <v>55</v>
      </c>
      <c r="I22" s="70"/>
      <c r="J22" s="71" t="n">
        <v>1500000</v>
      </c>
      <c r="K22" s="72" t="s">
        <v>156</v>
      </c>
      <c r="L22" s="4"/>
      <c r="M22" s="4"/>
      <c r="N22" s="4"/>
      <c r="O22" s="4"/>
      <c r="P22" s="4"/>
      <c r="Q22" s="4"/>
    </row>
    <row r="23" customFormat="false" ht="18" hidden="false" customHeight="true" outlineLevel="0" collapsed="false">
      <c r="A23" s="63" t="str">
        <f aca="false">IF($B23="","","PG-"&amp;TEXT(ROW()-5,"0000"))</f>
        <v>PG-0018</v>
      </c>
      <c r="B23" s="64" t="n">
        <v>46084</v>
      </c>
      <c r="C23" s="65" t="n">
        <f aca="false">IF($B23="","",MONTH($B23))</f>
        <v>3</v>
      </c>
      <c r="D23" s="66" t="s">
        <v>50</v>
      </c>
      <c r="E23" s="66" t="s">
        <v>53</v>
      </c>
      <c r="F23" s="66" t="s">
        <v>54</v>
      </c>
      <c r="G23" s="66" t="s">
        <v>73</v>
      </c>
      <c r="H23" s="66" t="s">
        <v>64</v>
      </c>
      <c r="I23" s="66" t="s">
        <v>56</v>
      </c>
      <c r="J23" s="67" t="n">
        <v>1355000</v>
      </c>
      <c r="K23" s="68" t="s">
        <v>157</v>
      </c>
      <c r="L23" s="4"/>
      <c r="M23" s="4"/>
      <c r="N23" s="4"/>
      <c r="O23" s="4"/>
      <c r="P23" s="4"/>
      <c r="Q23" s="4"/>
    </row>
    <row r="24" customFormat="false" ht="18" hidden="false" customHeight="true" outlineLevel="0" collapsed="false">
      <c r="A24" s="63" t="str">
        <f aca="false">IF($B24="","","PG-"&amp;TEXT(ROW()-5,"0000"))</f>
        <v>PG-0019</v>
      </c>
      <c r="B24" s="69" t="n">
        <v>46087</v>
      </c>
      <c r="C24" s="65" t="n">
        <f aca="false">IF($B24="","",MONTH($B24))</f>
        <v>3</v>
      </c>
      <c r="D24" s="70" t="s">
        <v>74</v>
      </c>
      <c r="E24" s="70" t="s">
        <v>93</v>
      </c>
      <c r="F24" s="70" t="s">
        <v>94</v>
      </c>
      <c r="G24" s="70" t="s">
        <v>96</v>
      </c>
      <c r="H24" s="70" t="s">
        <v>64</v>
      </c>
      <c r="I24" s="70" t="s">
        <v>56</v>
      </c>
      <c r="J24" s="71" t="n">
        <v>4650000</v>
      </c>
      <c r="K24" s="72" t="s">
        <v>164</v>
      </c>
      <c r="L24" s="4"/>
      <c r="M24" s="4"/>
      <c r="N24" s="4"/>
      <c r="O24" s="4"/>
      <c r="P24" s="4"/>
      <c r="Q24" s="4"/>
    </row>
    <row r="25" customFormat="false" ht="18" hidden="false" customHeight="true" outlineLevel="0" collapsed="false">
      <c r="A25" s="63" t="str">
        <f aca="false">IF($B25="","","PG-"&amp;TEXT(ROW()-5,"0000"))</f>
        <v>PG-0020</v>
      </c>
      <c r="B25" s="64" t="n">
        <v>46091</v>
      </c>
      <c r="C25" s="65" t="n">
        <f aca="false">IF($B25="","",MONTH($B25))</f>
        <v>3</v>
      </c>
      <c r="D25" s="66" t="s">
        <v>50</v>
      </c>
      <c r="E25" s="66" t="s">
        <v>62</v>
      </c>
      <c r="F25" s="66" t="s">
        <v>54</v>
      </c>
      <c r="G25" s="66" t="s">
        <v>84</v>
      </c>
      <c r="H25" s="66" t="s">
        <v>55</v>
      </c>
      <c r="I25" s="66"/>
      <c r="J25" s="67" t="n">
        <v>450000</v>
      </c>
      <c r="K25" s="68" t="s">
        <v>158</v>
      </c>
      <c r="L25" s="4"/>
      <c r="M25" s="4"/>
      <c r="N25" s="4"/>
      <c r="O25" s="4"/>
      <c r="P25" s="4"/>
      <c r="Q25" s="4"/>
    </row>
    <row r="26" customFormat="false" ht="18" hidden="false" customHeight="true" outlineLevel="0" collapsed="false">
      <c r="A26" s="63" t="str">
        <f aca="false">IF($B26="","","PG-"&amp;TEXT(ROW()-5,"0000"))</f>
        <v>PG-0021</v>
      </c>
      <c r="B26" s="69" t="n">
        <v>46093</v>
      </c>
      <c r="C26" s="65" t="n">
        <f aca="false">IF($B26="","",MONTH($B26))</f>
        <v>3</v>
      </c>
      <c r="D26" s="70" t="s">
        <v>74</v>
      </c>
      <c r="E26" s="70" t="s">
        <v>76</v>
      </c>
      <c r="F26" s="70" t="s">
        <v>77</v>
      </c>
      <c r="G26" s="70" t="s">
        <v>90</v>
      </c>
      <c r="H26" s="70" t="s">
        <v>55</v>
      </c>
      <c r="I26" s="70"/>
      <c r="J26" s="71" t="n">
        <v>850000</v>
      </c>
      <c r="K26" s="72" t="s">
        <v>159</v>
      </c>
      <c r="L26" s="4"/>
      <c r="M26" s="4"/>
      <c r="N26" s="4"/>
      <c r="O26" s="4"/>
      <c r="P26" s="4"/>
      <c r="Q26" s="4"/>
    </row>
    <row r="27" customFormat="false" ht="18" hidden="false" customHeight="true" outlineLevel="0" collapsed="false">
      <c r="A27" s="63" t="str">
        <f aca="false">IF($B27="","","PG-"&amp;TEXT(ROW()-5,"0000"))</f>
        <v>PG-0022</v>
      </c>
      <c r="B27" s="64" t="n">
        <v>46096</v>
      </c>
      <c r="C27" s="65" t="n">
        <f aca="false">IF($B27="","",MONTH($B27))</f>
        <v>3</v>
      </c>
      <c r="D27" s="66" t="s">
        <v>74</v>
      </c>
      <c r="E27" s="66" t="s">
        <v>81</v>
      </c>
      <c r="F27" s="66" t="s">
        <v>82</v>
      </c>
      <c r="G27" s="66" t="s">
        <v>78</v>
      </c>
      <c r="H27" s="66" t="s">
        <v>55</v>
      </c>
      <c r="I27" s="66"/>
      <c r="J27" s="67" t="n">
        <v>1200000</v>
      </c>
      <c r="K27" s="68" t="s">
        <v>160</v>
      </c>
      <c r="L27" s="4"/>
      <c r="M27" s="4"/>
      <c r="N27" s="4"/>
      <c r="O27" s="4"/>
      <c r="P27" s="4"/>
      <c r="Q27" s="4"/>
    </row>
    <row r="28" customFormat="false" ht="18" hidden="false" customHeight="true" outlineLevel="0" collapsed="false">
      <c r="A28" s="63" t="str">
        <f aca="false">IF($B28="","","PG-"&amp;TEXT(ROW()-5,"0000"))</f>
        <v>PG-0023</v>
      </c>
      <c r="B28" s="69" t="n">
        <v>46098</v>
      </c>
      <c r="C28" s="65" t="n">
        <f aca="false">IF($B28="","",MONTH($B28))</f>
        <v>3</v>
      </c>
      <c r="D28" s="70" t="s">
        <v>67</v>
      </c>
      <c r="E28" s="70" t="s">
        <v>87</v>
      </c>
      <c r="F28" s="70" t="s">
        <v>94</v>
      </c>
      <c r="G28" s="70" t="s">
        <v>107</v>
      </c>
      <c r="H28" s="70" t="s">
        <v>55</v>
      </c>
      <c r="I28" s="70"/>
      <c r="J28" s="71" t="n">
        <v>16200000</v>
      </c>
      <c r="K28" s="72" t="s">
        <v>165</v>
      </c>
      <c r="L28" s="4"/>
      <c r="M28" s="4"/>
      <c r="N28" s="4"/>
      <c r="O28" s="4"/>
      <c r="P28" s="4"/>
      <c r="Q28" s="4"/>
    </row>
    <row r="29" customFormat="false" ht="18" hidden="false" customHeight="true" outlineLevel="0" collapsed="false">
      <c r="A29" s="63" t="str">
        <f aca="false">IF($B29="","","PG-"&amp;TEXT(ROW()-5,"0000"))</f>
        <v>PG-0024</v>
      </c>
      <c r="B29" s="64" t="n">
        <v>46099</v>
      </c>
      <c r="C29" s="65" t="n">
        <f aca="false">IF($B29="","",MONTH($B29))</f>
        <v>3</v>
      </c>
      <c r="D29" s="66" t="s">
        <v>67</v>
      </c>
      <c r="E29" s="66" t="s">
        <v>87</v>
      </c>
      <c r="F29" s="66" t="s">
        <v>103</v>
      </c>
      <c r="G29" s="66" t="s">
        <v>107</v>
      </c>
      <c r="H29" s="66" t="s">
        <v>64</v>
      </c>
      <c r="I29" s="66" t="s">
        <v>56</v>
      </c>
      <c r="J29" s="67" t="n">
        <v>5500000</v>
      </c>
      <c r="K29" s="68" t="s">
        <v>166</v>
      </c>
      <c r="L29" s="4"/>
      <c r="M29" s="4"/>
      <c r="N29" s="4"/>
      <c r="O29" s="4"/>
      <c r="P29" s="4"/>
      <c r="Q29" s="4"/>
    </row>
    <row r="30" customFormat="false" ht="18" hidden="false" customHeight="true" outlineLevel="0" collapsed="false">
      <c r="A30" s="63" t="str">
        <f aca="false">IF($B30="","","PG-"&amp;TEXT(ROW()-5,"0000"))</f>
        <v>PG-0025</v>
      </c>
      <c r="B30" s="69" t="n">
        <v>46106</v>
      </c>
      <c r="C30" s="65" t="n">
        <f aca="false">IF($B30="","",MONTH($B30))</f>
        <v>3</v>
      </c>
      <c r="D30" s="70" t="s">
        <v>59</v>
      </c>
      <c r="E30" s="70" t="s">
        <v>59</v>
      </c>
      <c r="F30" s="70" t="s">
        <v>63</v>
      </c>
      <c r="G30" s="70" t="s">
        <v>58</v>
      </c>
      <c r="H30" s="70" t="s">
        <v>64</v>
      </c>
      <c r="I30" s="70" t="s">
        <v>56</v>
      </c>
      <c r="J30" s="71" t="n">
        <v>15000000</v>
      </c>
      <c r="K30" s="72" t="s">
        <v>167</v>
      </c>
      <c r="L30" s="4"/>
      <c r="M30" s="4"/>
      <c r="N30" s="4"/>
      <c r="O30" s="4"/>
      <c r="P30" s="4"/>
      <c r="Q30" s="4"/>
    </row>
    <row r="31" customFormat="false" ht="18" hidden="false" customHeight="true" outlineLevel="0" collapsed="false">
      <c r="A31" s="63" t="str">
        <f aca="false">IF($B31="","","PG-"&amp;TEXT(ROW()-5,"0000"))</f>
        <v>PG-0026</v>
      </c>
      <c r="B31" s="64" t="n">
        <v>46113</v>
      </c>
      <c r="C31" s="65" t="n">
        <f aca="false">IF($B31="","",MONTH($B31))</f>
        <v>4</v>
      </c>
      <c r="D31" s="66" t="s">
        <v>50</v>
      </c>
      <c r="E31" s="66" t="s">
        <v>69</v>
      </c>
      <c r="F31" s="66" t="s">
        <v>54</v>
      </c>
      <c r="G31" s="66" t="s">
        <v>78</v>
      </c>
      <c r="H31" s="66" t="s">
        <v>55</v>
      </c>
      <c r="I31" s="66"/>
      <c r="J31" s="67" t="n">
        <v>2000000</v>
      </c>
      <c r="K31" s="68" t="s">
        <v>155</v>
      </c>
      <c r="L31" s="4"/>
      <c r="M31" s="4"/>
      <c r="N31" s="4"/>
      <c r="O31" s="4"/>
      <c r="P31" s="4"/>
      <c r="Q31" s="4"/>
    </row>
    <row r="32" customFormat="false" ht="18" hidden="false" customHeight="true" outlineLevel="0" collapsed="false">
      <c r="A32" s="63" t="str">
        <f aca="false">IF($B32="","","PG-"&amp;TEXT(ROW()-5,"0000"))</f>
        <v>PG-0027</v>
      </c>
      <c r="B32" s="69" t="n">
        <v>46113</v>
      </c>
      <c r="C32" s="65" t="n">
        <f aca="false">IF($B32="","",MONTH($B32))</f>
        <v>4</v>
      </c>
      <c r="D32" s="70" t="s">
        <v>50</v>
      </c>
      <c r="E32" s="70" t="s">
        <v>69</v>
      </c>
      <c r="F32" s="70" t="s">
        <v>54</v>
      </c>
      <c r="G32" s="70" t="s">
        <v>84</v>
      </c>
      <c r="H32" s="70" t="s">
        <v>55</v>
      </c>
      <c r="I32" s="70"/>
      <c r="J32" s="71" t="n">
        <v>1500000</v>
      </c>
      <c r="K32" s="72" t="s">
        <v>156</v>
      </c>
      <c r="L32" s="4"/>
      <c r="M32" s="4"/>
      <c r="N32" s="4"/>
      <c r="O32" s="4"/>
      <c r="P32" s="4"/>
      <c r="Q32" s="4"/>
    </row>
    <row r="33" customFormat="false" ht="18" hidden="false" customHeight="true" outlineLevel="0" collapsed="false">
      <c r="A33" s="63" t="str">
        <f aca="false">IF($B33="","","PG-"&amp;TEXT(ROW()-5,"0000"))</f>
        <v>PG-0028</v>
      </c>
      <c r="B33" s="64" t="n">
        <v>46115</v>
      </c>
      <c r="C33" s="65" t="n">
        <f aca="false">IF($B33="","",MONTH($B33))</f>
        <v>4</v>
      </c>
      <c r="D33" s="66" t="s">
        <v>50</v>
      </c>
      <c r="E33" s="66" t="s">
        <v>53</v>
      </c>
      <c r="F33" s="66" t="s">
        <v>54</v>
      </c>
      <c r="G33" s="66" t="s">
        <v>73</v>
      </c>
      <c r="H33" s="66" t="s">
        <v>64</v>
      </c>
      <c r="I33" s="66" t="s">
        <v>56</v>
      </c>
      <c r="J33" s="67" t="n">
        <v>1390000</v>
      </c>
      <c r="K33" s="68" t="s">
        <v>157</v>
      </c>
      <c r="L33" s="4"/>
      <c r="M33" s="4"/>
      <c r="N33" s="4"/>
      <c r="O33" s="4"/>
      <c r="P33" s="4"/>
      <c r="Q33" s="4"/>
    </row>
    <row r="34" customFormat="false" ht="18" hidden="false" customHeight="true" outlineLevel="0" collapsed="false">
      <c r="A34" s="63" t="str">
        <f aca="false">IF($B34="","","PG-"&amp;TEXT(ROW()-5,"0000"))</f>
        <v>PG-0029</v>
      </c>
      <c r="B34" s="69" t="n">
        <v>46122</v>
      </c>
      <c r="C34" s="65" t="n">
        <f aca="false">IF($B34="","",MONTH($B34))</f>
        <v>4</v>
      </c>
      <c r="D34" s="70" t="s">
        <v>50</v>
      </c>
      <c r="E34" s="70" t="s">
        <v>62</v>
      </c>
      <c r="F34" s="70" t="s">
        <v>54</v>
      </c>
      <c r="G34" s="70" t="s">
        <v>84</v>
      </c>
      <c r="H34" s="70" t="s">
        <v>55</v>
      </c>
      <c r="I34" s="70"/>
      <c r="J34" s="71" t="n">
        <v>450000</v>
      </c>
      <c r="K34" s="72" t="s">
        <v>158</v>
      </c>
      <c r="L34" s="4"/>
      <c r="M34" s="4"/>
      <c r="N34" s="4"/>
      <c r="O34" s="4"/>
      <c r="P34" s="4"/>
      <c r="Q34" s="4"/>
    </row>
    <row r="35" customFormat="false" ht="18" hidden="false" customHeight="true" outlineLevel="0" collapsed="false">
      <c r="A35" s="63" t="str">
        <f aca="false">IF($B35="","","PG-"&amp;TEXT(ROW()-5,"0000"))</f>
        <v>PG-0030</v>
      </c>
      <c r="B35" s="64" t="n">
        <v>46124</v>
      </c>
      <c r="C35" s="65" t="n">
        <f aca="false">IF($B35="","",MONTH($B35))</f>
        <v>4</v>
      </c>
      <c r="D35" s="66" t="s">
        <v>74</v>
      </c>
      <c r="E35" s="66" t="s">
        <v>76</v>
      </c>
      <c r="F35" s="66" t="s">
        <v>77</v>
      </c>
      <c r="G35" s="66" t="s">
        <v>90</v>
      </c>
      <c r="H35" s="66" t="s">
        <v>55</v>
      </c>
      <c r="I35" s="66"/>
      <c r="J35" s="67" t="n">
        <v>850000</v>
      </c>
      <c r="K35" s="68" t="s">
        <v>159</v>
      </c>
      <c r="L35" s="4"/>
      <c r="M35" s="4"/>
      <c r="N35" s="4"/>
      <c r="O35" s="4"/>
      <c r="P35" s="4"/>
      <c r="Q35" s="4"/>
    </row>
    <row r="36" customFormat="false" ht="18" hidden="false" customHeight="true" outlineLevel="0" collapsed="false">
      <c r="A36" s="63" t="str">
        <f aca="false">IF($B36="","","PG-"&amp;TEXT(ROW()-5,"0000"))</f>
        <v>PG-0031</v>
      </c>
      <c r="B36" s="69" t="n">
        <v>46126</v>
      </c>
      <c r="C36" s="65" t="n">
        <f aca="false">IF($B36="","",MONTH($B36))</f>
        <v>4</v>
      </c>
      <c r="D36" s="70" t="s">
        <v>50</v>
      </c>
      <c r="E36" s="70" t="s">
        <v>106</v>
      </c>
      <c r="F36" s="70" t="s">
        <v>54</v>
      </c>
      <c r="G36" s="70" t="s">
        <v>58</v>
      </c>
      <c r="H36" s="70" t="s">
        <v>55</v>
      </c>
      <c r="I36" s="70"/>
      <c r="J36" s="71" t="n">
        <v>1750000</v>
      </c>
      <c r="K36" s="72" t="s">
        <v>168</v>
      </c>
      <c r="L36" s="4"/>
      <c r="M36" s="4"/>
      <c r="N36" s="4"/>
      <c r="O36" s="4"/>
      <c r="P36" s="4"/>
      <c r="Q36" s="4"/>
    </row>
    <row r="37" customFormat="false" ht="18" hidden="false" customHeight="true" outlineLevel="0" collapsed="false">
      <c r="A37" s="63" t="str">
        <f aca="false">IF($B37="","","PG-"&amp;TEXT(ROW()-5,"0000"))</f>
        <v>PG-0032</v>
      </c>
      <c r="B37" s="64" t="n">
        <v>46127</v>
      </c>
      <c r="C37" s="65" t="n">
        <f aca="false">IF($B37="","",MONTH($B37))</f>
        <v>4</v>
      </c>
      <c r="D37" s="66" t="s">
        <v>74</v>
      </c>
      <c r="E37" s="66" t="s">
        <v>81</v>
      </c>
      <c r="F37" s="66" t="s">
        <v>82</v>
      </c>
      <c r="G37" s="66" t="s">
        <v>78</v>
      </c>
      <c r="H37" s="66" t="s">
        <v>55</v>
      </c>
      <c r="I37" s="66"/>
      <c r="J37" s="67" t="n">
        <v>1200000</v>
      </c>
      <c r="K37" s="68" t="s">
        <v>160</v>
      </c>
      <c r="L37" s="4"/>
      <c r="M37" s="4"/>
      <c r="N37" s="4"/>
      <c r="O37" s="4"/>
      <c r="P37" s="4"/>
      <c r="Q37" s="4"/>
    </row>
    <row r="38" customFormat="false" ht="18" hidden="false" customHeight="true" outlineLevel="0" collapsed="false">
      <c r="A38" s="63" t="str">
        <f aca="false">IF($B38="","","PG-"&amp;TEXT(ROW()-5,"0000"))</f>
        <v>PG-0033</v>
      </c>
      <c r="B38" s="69" t="n">
        <v>46132</v>
      </c>
      <c r="C38" s="65" t="n">
        <f aca="false">IF($B38="","",MONTH($B38))</f>
        <v>4</v>
      </c>
      <c r="D38" s="70" t="s">
        <v>79</v>
      </c>
      <c r="E38" s="70" t="s">
        <v>87</v>
      </c>
      <c r="F38" s="70" t="s">
        <v>88</v>
      </c>
      <c r="G38" s="70" t="s">
        <v>107</v>
      </c>
      <c r="H38" s="70" t="s">
        <v>55</v>
      </c>
      <c r="I38" s="70"/>
      <c r="J38" s="71" t="n">
        <v>2750000</v>
      </c>
      <c r="K38" s="72" t="s">
        <v>169</v>
      </c>
      <c r="L38" s="4"/>
      <c r="M38" s="4"/>
      <c r="N38" s="4"/>
      <c r="O38" s="4"/>
      <c r="P38" s="4"/>
      <c r="Q38" s="4"/>
    </row>
    <row r="39" customFormat="false" ht="18" hidden="false" customHeight="true" outlineLevel="0" collapsed="false">
      <c r="A39" s="63" t="str">
        <f aca="false">IF($B39="","","PG-"&amp;TEXT(ROW()-5,"0000"))</f>
        <v>PG-0034</v>
      </c>
      <c r="B39" s="64" t="n">
        <v>46143</v>
      </c>
      <c r="C39" s="65" t="n">
        <f aca="false">IF($B39="","",MONTH($B39))</f>
        <v>5</v>
      </c>
      <c r="D39" s="66" t="s">
        <v>50</v>
      </c>
      <c r="E39" s="66" t="s">
        <v>69</v>
      </c>
      <c r="F39" s="66" t="s">
        <v>54</v>
      </c>
      <c r="G39" s="66" t="s">
        <v>78</v>
      </c>
      <c r="H39" s="66" t="s">
        <v>55</v>
      </c>
      <c r="I39" s="66"/>
      <c r="J39" s="67" t="n">
        <v>2000000</v>
      </c>
      <c r="K39" s="68" t="s">
        <v>155</v>
      </c>
      <c r="L39" s="4"/>
      <c r="M39" s="4"/>
      <c r="N39" s="4"/>
      <c r="O39" s="4"/>
      <c r="P39" s="4"/>
      <c r="Q39" s="4"/>
    </row>
    <row r="40" customFormat="false" ht="18" hidden="false" customHeight="true" outlineLevel="0" collapsed="false">
      <c r="A40" s="63" t="str">
        <f aca="false">IF($B40="","","PG-"&amp;TEXT(ROW()-5,"0000"))</f>
        <v>PG-0035</v>
      </c>
      <c r="B40" s="69" t="n">
        <v>46143</v>
      </c>
      <c r="C40" s="65" t="n">
        <f aca="false">IF($B40="","",MONTH($B40))</f>
        <v>5</v>
      </c>
      <c r="D40" s="70" t="s">
        <v>50</v>
      </c>
      <c r="E40" s="70" t="s">
        <v>69</v>
      </c>
      <c r="F40" s="70" t="s">
        <v>54</v>
      </c>
      <c r="G40" s="70" t="s">
        <v>84</v>
      </c>
      <c r="H40" s="70" t="s">
        <v>55</v>
      </c>
      <c r="I40" s="70"/>
      <c r="J40" s="71" t="n">
        <v>1500000</v>
      </c>
      <c r="K40" s="72" t="s">
        <v>156</v>
      </c>
      <c r="L40" s="4"/>
      <c r="M40" s="4"/>
      <c r="N40" s="4"/>
      <c r="O40" s="4"/>
      <c r="P40" s="4"/>
      <c r="Q40" s="4"/>
    </row>
    <row r="41" customFormat="false" ht="18" hidden="false" customHeight="true" outlineLevel="0" collapsed="false">
      <c r="A41" s="63" t="str">
        <f aca="false">IF($B41="","","PG-"&amp;TEXT(ROW()-5,"0000"))</f>
        <v>PG-0036</v>
      </c>
      <c r="B41" s="64" t="n">
        <v>46145</v>
      </c>
      <c r="C41" s="65" t="n">
        <f aca="false">IF($B41="","",MONTH($B41))</f>
        <v>5</v>
      </c>
      <c r="D41" s="66" t="s">
        <v>50</v>
      </c>
      <c r="E41" s="66" t="s">
        <v>53</v>
      </c>
      <c r="F41" s="66" t="s">
        <v>54</v>
      </c>
      <c r="G41" s="66" t="s">
        <v>73</v>
      </c>
      <c r="H41" s="66" t="s">
        <v>64</v>
      </c>
      <c r="I41" s="66" t="s">
        <v>56</v>
      </c>
      <c r="J41" s="67" t="n">
        <v>1425000</v>
      </c>
      <c r="K41" s="68" t="s">
        <v>157</v>
      </c>
      <c r="L41" s="4"/>
      <c r="M41" s="4"/>
      <c r="N41" s="4"/>
      <c r="O41" s="4"/>
      <c r="P41" s="4"/>
      <c r="Q41" s="4"/>
    </row>
    <row r="42" customFormat="false" ht="18" hidden="false" customHeight="true" outlineLevel="0" collapsed="false">
      <c r="A42" s="63" t="str">
        <f aca="false">IF($B42="","","PG-"&amp;TEXT(ROW()-5,"0000"))</f>
        <v>PG-0037</v>
      </c>
      <c r="B42" s="69" t="n">
        <v>46152</v>
      </c>
      <c r="C42" s="65" t="n">
        <f aca="false">IF($B42="","",MONTH($B42))</f>
        <v>5</v>
      </c>
      <c r="D42" s="70" t="s">
        <v>50</v>
      </c>
      <c r="E42" s="70" t="s">
        <v>62</v>
      </c>
      <c r="F42" s="70" t="s">
        <v>54</v>
      </c>
      <c r="G42" s="70" t="s">
        <v>84</v>
      </c>
      <c r="H42" s="70" t="s">
        <v>55</v>
      </c>
      <c r="I42" s="70"/>
      <c r="J42" s="71" t="n">
        <v>450000</v>
      </c>
      <c r="K42" s="72" t="s">
        <v>158</v>
      </c>
      <c r="L42" s="4"/>
      <c r="M42" s="4"/>
      <c r="N42" s="4"/>
      <c r="O42" s="4"/>
      <c r="P42" s="4"/>
      <c r="Q42" s="4"/>
    </row>
    <row r="43" customFormat="false" ht="18" hidden="false" customHeight="true" outlineLevel="0" collapsed="false">
      <c r="A43" s="63" t="str">
        <f aca="false">IF($B43="","","PG-"&amp;TEXT(ROW()-5,"0000"))</f>
        <v>PG-0038</v>
      </c>
      <c r="B43" s="64" t="n">
        <v>46154</v>
      </c>
      <c r="C43" s="65" t="n">
        <f aca="false">IF($B43="","",MONTH($B43))</f>
        <v>5</v>
      </c>
      <c r="D43" s="66" t="s">
        <v>74</v>
      </c>
      <c r="E43" s="66" t="s">
        <v>76</v>
      </c>
      <c r="F43" s="66" t="s">
        <v>77</v>
      </c>
      <c r="G43" s="66" t="s">
        <v>90</v>
      </c>
      <c r="H43" s="66" t="s">
        <v>55</v>
      </c>
      <c r="I43" s="66"/>
      <c r="J43" s="67" t="n">
        <v>850000</v>
      </c>
      <c r="K43" s="68" t="s">
        <v>159</v>
      </c>
      <c r="L43" s="4"/>
      <c r="M43" s="4"/>
      <c r="N43" s="4"/>
      <c r="O43" s="4"/>
      <c r="P43" s="4"/>
      <c r="Q43" s="4"/>
    </row>
    <row r="44" customFormat="false" ht="18" hidden="false" customHeight="true" outlineLevel="0" collapsed="false">
      <c r="A44" s="63" t="str">
        <f aca="false">IF($B44="","","PG-"&amp;TEXT(ROW()-5,"0000"))</f>
        <v>PG-0039</v>
      </c>
      <c r="B44" s="69" t="n">
        <v>46154</v>
      </c>
      <c r="C44" s="65" t="n">
        <f aca="false">IF($B44="","",MONTH($B44))</f>
        <v>5</v>
      </c>
      <c r="D44" s="70" t="s">
        <v>50</v>
      </c>
      <c r="E44" s="70" t="s">
        <v>108</v>
      </c>
      <c r="F44" s="70" t="s">
        <v>54</v>
      </c>
      <c r="G44" s="70" t="s">
        <v>101</v>
      </c>
      <c r="H44" s="70" t="s">
        <v>64</v>
      </c>
      <c r="I44" s="70" t="s">
        <v>65</v>
      </c>
      <c r="J44" s="71" t="n">
        <v>8500000</v>
      </c>
      <c r="K44" s="72" t="s">
        <v>170</v>
      </c>
      <c r="L44" s="4"/>
      <c r="M44" s="4"/>
      <c r="N44" s="4"/>
      <c r="O44" s="4"/>
      <c r="P44" s="4"/>
      <c r="Q44" s="4"/>
    </row>
    <row r="45" customFormat="false" ht="18" hidden="false" customHeight="true" outlineLevel="0" collapsed="false">
      <c r="A45" s="63" t="str">
        <f aca="false">IF($B45="","","PG-"&amp;TEXT(ROW()-5,"0000"))</f>
        <v>PG-0040</v>
      </c>
      <c r="B45" s="64" t="n">
        <v>46157</v>
      </c>
      <c r="C45" s="65" t="n">
        <f aca="false">IF($B45="","",MONTH($B45))</f>
        <v>5</v>
      </c>
      <c r="D45" s="66" t="s">
        <v>74</v>
      </c>
      <c r="E45" s="66" t="s">
        <v>81</v>
      </c>
      <c r="F45" s="66" t="s">
        <v>82</v>
      </c>
      <c r="G45" s="66" t="s">
        <v>78</v>
      </c>
      <c r="H45" s="66" t="s">
        <v>55</v>
      </c>
      <c r="I45" s="66"/>
      <c r="J45" s="67" t="n">
        <v>1200000</v>
      </c>
      <c r="K45" s="68" t="s">
        <v>160</v>
      </c>
      <c r="L45" s="4"/>
      <c r="M45" s="4"/>
      <c r="N45" s="4"/>
      <c r="O45" s="4"/>
      <c r="P45" s="4"/>
      <c r="Q45" s="4"/>
    </row>
    <row r="46" customFormat="false" ht="18" hidden="false" customHeight="true" outlineLevel="0" collapsed="false">
      <c r="A46" s="63" t="str">
        <f aca="false">IF($B46="","","PG-"&amp;TEXT(ROW()-5,"0000"))</f>
        <v>PG-0041</v>
      </c>
      <c r="B46" s="69" t="n">
        <v>46170</v>
      </c>
      <c r="C46" s="65" t="n">
        <f aca="false">IF($B46="","",MONTH($B46))</f>
        <v>5</v>
      </c>
      <c r="D46" s="70" t="s">
        <v>59</v>
      </c>
      <c r="E46" s="70" t="s">
        <v>59</v>
      </c>
      <c r="F46" s="70" t="s">
        <v>70</v>
      </c>
      <c r="G46" s="70" t="s">
        <v>66</v>
      </c>
      <c r="H46" s="70" t="s">
        <v>64</v>
      </c>
      <c r="I46" s="70" t="s">
        <v>56</v>
      </c>
      <c r="J46" s="71" t="n">
        <v>6800000</v>
      </c>
      <c r="K46" s="72" t="s">
        <v>171</v>
      </c>
      <c r="L46" s="4"/>
      <c r="M46" s="4"/>
      <c r="N46" s="4"/>
      <c r="O46" s="4"/>
      <c r="P46" s="4"/>
      <c r="Q46" s="4"/>
    </row>
    <row r="47" customFormat="false" ht="18" hidden="false" customHeight="true" outlineLevel="0" collapsed="false">
      <c r="A47" s="63" t="str">
        <f aca="false">IF($B47="","","PG-"&amp;TEXT(ROW()-5,"0000"))</f>
        <v>PG-0042</v>
      </c>
      <c r="B47" s="64" t="n">
        <v>46174</v>
      </c>
      <c r="C47" s="65" t="n">
        <f aca="false">IF($B47="","",MONTH($B47))</f>
        <v>6</v>
      </c>
      <c r="D47" s="66" t="s">
        <v>50</v>
      </c>
      <c r="E47" s="66" t="s">
        <v>69</v>
      </c>
      <c r="F47" s="66" t="s">
        <v>54</v>
      </c>
      <c r="G47" s="66" t="s">
        <v>78</v>
      </c>
      <c r="H47" s="66" t="s">
        <v>55</v>
      </c>
      <c r="I47" s="66"/>
      <c r="J47" s="67" t="n">
        <v>2000000</v>
      </c>
      <c r="K47" s="68" t="s">
        <v>155</v>
      </c>
      <c r="L47" s="4"/>
      <c r="M47" s="4"/>
      <c r="N47" s="4"/>
      <c r="O47" s="4"/>
      <c r="P47" s="4"/>
      <c r="Q47" s="4"/>
    </row>
    <row r="48" customFormat="false" ht="18" hidden="false" customHeight="true" outlineLevel="0" collapsed="false">
      <c r="A48" s="63" t="str">
        <f aca="false">IF($B48="","","PG-"&amp;TEXT(ROW()-5,"0000"))</f>
        <v>PG-0043</v>
      </c>
      <c r="B48" s="69" t="n">
        <v>46174</v>
      </c>
      <c r="C48" s="65" t="n">
        <f aca="false">IF($B48="","",MONTH($B48))</f>
        <v>6</v>
      </c>
      <c r="D48" s="70" t="s">
        <v>50</v>
      </c>
      <c r="E48" s="70" t="s">
        <v>69</v>
      </c>
      <c r="F48" s="70" t="s">
        <v>54</v>
      </c>
      <c r="G48" s="70" t="s">
        <v>84</v>
      </c>
      <c r="H48" s="70" t="s">
        <v>55</v>
      </c>
      <c r="I48" s="70"/>
      <c r="J48" s="71" t="n">
        <v>1500000</v>
      </c>
      <c r="K48" s="72" t="s">
        <v>156</v>
      </c>
      <c r="L48" s="4"/>
      <c r="M48" s="4"/>
      <c r="N48" s="4"/>
      <c r="O48" s="4"/>
      <c r="P48" s="4"/>
      <c r="Q48" s="4"/>
    </row>
    <row r="49" customFormat="false" ht="18" hidden="false" customHeight="true" outlineLevel="0" collapsed="false">
      <c r="A49" s="63" t="str">
        <f aca="false">IF($B49="","","PG-"&amp;TEXT(ROW()-5,"0000"))</f>
        <v>PG-0044</v>
      </c>
      <c r="B49" s="64" t="n">
        <v>46175</v>
      </c>
      <c r="C49" s="65" t="n">
        <f aca="false">IF($B49="","",MONTH($B49))</f>
        <v>6</v>
      </c>
      <c r="D49" s="66" t="s">
        <v>50</v>
      </c>
      <c r="E49" s="66" t="s">
        <v>109</v>
      </c>
      <c r="F49" s="66" t="s">
        <v>54</v>
      </c>
      <c r="G49" s="66" t="s">
        <v>90</v>
      </c>
      <c r="H49" s="66" t="s">
        <v>55</v>
      </c>
      <c r="I49" s="66"/>
      <c r="J49" s="67" t="n">
        <v>650000</v>
      </c>
      <c r="K49" s="68" t="s">
        <v>172</v>
      </c>
      <c r="L49" s="4"/>
      <c r="M49" s="4"/>
      <c r="N49" s="4"/>
      <c r="O49" s="4"/>
      <c r="P49" s="4"/>
      <c r="Q49" s="4"/>
    </row>
    <row r="50" customFormat="false" ht="18" hidden="false" customHeight="true" outlineLevel="0" collapsed="false">
      <c r="A50" s="63" t="str">
        <f aca="false">IF($B50="","","PG-"&amp;TEXT(ROW()-5,"0000"))</f>
        <v>PG-0045</v>
      </c>
      <c r="B50" s="69" t="n">
        <v>46176</v>
      </c>
      <c r="C50" s="65" t="n">
        <f aca="false">IF($B50="","",MONTH($B50))</f>
        <v>6</v>
      </c>
      <c r="D50" s="70" t="s">
        <v>50</v>
      </c>
      <c r="E50" s="70" t="s">
        <v>53</v>
      </c>
      <c r="F50" s="70" t="s">
        <v>54</v>
      </c>
      <c r="G50" s="70" t="s">
        <v>73</v>
      </c>
      <c r="H50" s="70" t="s">
        <v>64</v>
      </c>
      <c r="I50" s="70" t="s">
        <v>56</v>
      </c>
      <c r="J50" s="71" t="n">
        <v>1460000</v>
      </c>
      <c r="K50" s="72" t="s">
        <v>157</v>
      </c>
      <c r="L50" s="4"/>
      <c r="M50" s="4"/>
      <c r="N50" s="4"/>
      <c r="O50" s="4"/>
      <c r="P50" s="4"/>
      <c r="Q50" s="4"/>
    </row>
    <row r="51" customFormat="false" ht="18" hidden="false" customHeight="true" outlineLevel="0" collapsed="false">
      <c r="A51" s="63" t="str">
        <f aca="false">IF($B51="","","PG-"&amp;TEXT(ROW()-5,"0000"))</f>
        <v>PG-0046</v>
      </c>
      <c r="B51" s="64" t="n">
        <v>46183</v>
      </c>
      <c r="C51" s="65" t="n">
        <f aca="false">IF($B51="","",MONTH($B51))</f>
        <v>6</v>
      </c>
      <c r="D51" s="66" t="s">
        <v>50</v>
      </c>
      <c r="E51" s="66" t="s">
        <v>62</v>
      </c>
      <c r="F51" s="66" t="s">
        <v>54</v>
      </c>
      <c r="G51" s="66" t="s">
        <v>84</v>
      </c>
      <c r="H51" s="66" t="s">
        <v>55</v>
      </c>
      <c r="I51" s="66"/>
      <c r="J51" s="67" t="n">
        <v>450000</v>
      </c>
      <c r="K51" s="68" t="s">
        <v>158</v>
      </c>
      <c r="L51" s="4"/>
      <c r="M51" s="4"/>
      <c r="N51" s="4"/>
      <c r="O51" s="4"/>
      <c r="P51" s="4"/>
      <c r="Q51" s="4"/>
    </row>
    <row r="52" customFormat="false" ht="18" hidden="false" customHeight="true" outlineLevel="0" collapsed="false">
      <c r="A52" s="63" t="str">
        <f aca="false">IF($B52="","","PG-"&amp;TEXT(ROW()-5,"0000"))</f>
        <v>PG-0047</v>
      </c>
      <c r="B52" s="69" t="n">
        <v>46185</v>
      </c>
      <c r="C52" s="65" t="n">
        <f aca="false">IF($B52="","",MONTH($B52))</f>
        <v>6</v>
      </c>
      <c r="D52" s="70" t="s">
        <v>74</v>
      </c>
      <c r="E52" s="70" t="s">
        <v>76</v>
      </c>
      <c r="F52" s="70" t="s">
        <v>77</v>
      </c>
      <c r="G52" s="70" t="s">
        <v>90</v>
      </c>
      <c r="H52" s="70" t="s">
        <v>55</v>
      </c>
      <c r="I52" s="70"/>
      <c r="J52" s="71" t="n">
        <v>850000</v>
      </c>
      <c r="K52" s="72" t="s">
        <v>159</v>
      </c>
      <c r="L52" s="4"/>
      <c r="M52" s="4"/>
      <c r="N52" s="4"/>
      <c r="O52" s="4"/>
      <c r="P52" s="4"/>
      <c r="Q52" s="4"/>
    </row>
    <row r="53" customFormat="false" ht="18" hidden="false" customHeight="true" outlineLevel="0" collapsed="false">
      <c r="A53" s="63" t="str">
        <f aca="false">IF($B53="","","PG-"&amp;TEXT(ROW()-5,"0000"))</f>
        <v>PG-0048</v>
      </c>
      <c r="B53" s="64" t="n">
        <v>46188</v>
      </c>
      <c r="C53" s="65" t="n">
        <f aca="false">IF($B53="","",MONTH($B53))</f>
        <v>6</v>
      </c>
      <c r="D53" s="66" t="s">
        <v>74</v>
      </c>
      <c r="E53" s="66" t="s">
        <v>81</v>
      </c>
      <c r="F53" s="66" t="s">
        <v>82</v>
      </c>
      <c r="G53" s="66" t="s">
        <v>78</v>
      </c>
      <c r="H53" s="66" t="s">
        <v>55</v>
      </c>
      <c r="I53" s="66"/>
      <c r="J53" s="67" t="n">
        <v>1200000</v>
      </c>
      <c r="K53" s="68" t="s">
        <v>160</v>
      </c>
      <c r="L53" s="4"/>
      <c r="M53" s="4"/>
      <c r="N53" s="4"/>
      <c r="O53" s="4"/>
      <c r="P53" s="4"/>
      <c r="Q53" s="4"/>
    </row>
    <row r="54" customFormat="false" ht="18" hidden="false" customHeight="true" outlineLevel="0" collapsed="false">
      <c r="A54" s="63" t="str">
        <f aca="false">IF($B54="","","PG-"&amp;TEXT(ROW()-5,"0000"))</f>
        <v>PG-0049</v>
      </c>
      <c r="B54" s="69" t="n">
        <v>46191</v>
      </c>
      <c r="C54" s="65" t="n">
        <f aca="false">IF($B54="","",MONTH($B54))</f>
        <v>6</v>
      </c>
      <c r="D54" s="70" t="s">
        <v>85</v>
      </c>
      <c r="E54" s="70" t="s">
        <v>59</v>
      </c>
      <c r="F54" s="70" t="s">
        <v>63</v>
      </c>
      <c r="G54" s="70" t="s">
        <v>58</v>
      </c>
      <c r="H54" s="70" t="s">
        <v>64</v>
      </c>
      <c r="I54" s="70" t="s">
        <v>56</v>
      </c>
      <c r="J54" s="71" t="n">
        <v>10000000</v>
      </c>
      <c r="K54" s="72" t="s">
        <v>173</v>
      </c>
      <c r="L54" s="4"/>
      <c r="M54" s="4"/>
      <c r="N54" s="4"/>
      <c r="O54" s="4"/>
      <c r="P54" s="4"/>
      <c r="Q54" s="4"/>
    </row>
    <row r="55" customFormat="false" ht="18" hidden="false" customHeight="true" outlineLevel="0" collapsed="false">
      <c r="A55" s="63" t="str">
        <f aca="false">IF($B55="","","PG-"&amp;TEXT(ROW()-5,"0000"))</f>
        <v/>
      </c>
      <c r="B55" s="64"/>
      <c r="C55" s="65" t="str">
        <f aca="false">IF($B55="","",MONTH($B55))</f>
        <v/>
      </c>
      <c r="D55" s="66"/>
      <c r="E55" s="66"/>
      <c r="F55" s="66"/>
      <c r="G55" s="66"/>
      <c r="H55" s="66"/>
      <c r="I55" s="66"/>
      <c r="J55" s="67"/>
      <c r="K55" s="68"/>
      <c r="L55" s="4"/>
      <c r="M55" s="4"/>
      <c r="N55" s="4"/>
      <c r="O55" s="4"/>
      <c r="P55" s="4"/>
      <c r="Q55" s="4"/>
    </row>
    <row r="56" customFormat="false" ht="18" hidden="false" customHeight="true" outlineLevel="0" collapsed="false">
      <c r="A56" s="63" t="str">
        <f aca="false">IF($B56="","","PG-"&amp;TEXT(ROW()-5,"0000"))</f>
        <v/>
      </c>
      <c r="B56" s="69"/>
      <c r="C56" s="65" t="str">
        <f aca="false">IF($B56="","",MONTH($B56))</f>
        <v/>
      </c>
      <c r="D56" s="70"/>
      <c r="E56" s="70"/>
      <c r="F56" s="70"/>
      <c r="G56" s="70"/>
      <c r="H56" s="70"/>
      <c r="I56" s="70"/>
      <c r="J56" s="71"/>
      <c r="K56" s="72"/>
      <c r="L56" s="4"/>
      <c r="M56" s="4"/>
      <c r="N56" s="4"/>
      <c r="O56" s="4"/>
      <c r="P56" s="4"/>
      <c r="Q56" s="4"/>
    </row>
    <row r="57" customFormat="false" ht="18" hidden="false" customHeight="true" outlineLevel="0" collapsed="false">
      <c r="A57" s="63" t="str">
        <f aca="false">IF($B57="","","PG-"&amp;TEXT(ROW()-5,"0000"))</f>
        <v/>
      </c>
      <c r="B57" s="64"/>
      <c r="C57" s="65" t="str">
        <f aca="false">IF($B57="","",MONTH($B57))</f>
        <v/>
      </c>
      <c r="D57" s="66"/>
      <c r="E57" s="66"/>
      <c r="F57" s="66"/>
      <c r="G57" s="66"/>
      <c r="H57" s="66"/>
      <c r="I57" s="66"/>
      <c r="J57" s="67"/>
      <c r="K57" s="68"/>
      <c r="L57" s="4"/>
      <c r="M57" s="4"/>
      <c r="N57" s="4"/>
      <c r="O57" s="4"/>
      <c r="P57" s="4"/>
      <c r="Q57" s="4"/>
    </row>
    <row r="58" customFormat="false" ht="18" hidden="false" customHeight="true" outlineLevel="0" collapsed="false">
      <c r="A58" s="63" t="str">
        <f aca="false">IF($B58="","","PG-"&amp;TEXT(ROW()-5,"0000"))</f>
        <v/>
      </c>
      <c r="B58" s="69"/>
      <c r="C58" s="65" t="str">
        <f aca="false">IF($B58="","",MONTH($B58))</f>
        <v/>
      </c>
      <c r="D58" s="70"/>
      <c r="E58" s="70"/>
      <c r="F58" s="70"/>
      <c r="G58" s="70"/>
      <c r="H58" s="70"/>
      <c r="I58" s="70"/>
      <c r="J58" s="71"/>
      <c r="K58" s="72"/>
      <c r="L58" s="4"/>
      <c r="M58" s="4"/>
      <c r="N58" s="4"/>
      <c r="O58" s="4"/>
      <c r="P58" s="4"/>
      <c r="Q58" s="4"/>
    </row>
    <row r="59" customFormat="false" ht="18" hidden="false" customHeight="true" outlineLevel="0" collapsed="false">
      <c r="A59" s="63" t="str">
        <f aca="false">IF($B59="","","PG-"&amp;TEXT(ROW()-5,"0000"))</f>
        <v/>
      </c>
      <c r="B59" s="64"/>
      <c r="C59" s="65" t="str">
        <f aca="false">IF($B59="","",MONTH($B59))</f>
        <v/>
      </c>
      <c r="D59" s="66"/>
      <c r="E59" s="66"/>
      <c r="F59" s="66"/>
      <c r="G59" s="66"/>
      <c r="H59" s="66"/>
      <c r="I59" s="66"/>
      <c r="J59" s="67"/>
      <c r="K59" s="68"/>
      <c r="L59" s="4"/>
      <c r="M59" s="4"/>
      <c r="N59" s="4"/>
      <c r="O59" s="4"/>
      <c r="P59" s="4"/>
      <c r="Q59" s="4"/>
    </row>
    <row r="60" customFormat="false" ht="18" hidden="false" customHeight="true" outlineLevel="0" collapsed="false">
      <c r="A60" s="63" t="str">
        <f aca="false">IF($B60="","","PG-"&amp;TEXT(ROW()-5,"0000"))</f>
        <v/>
      </c>
      <c r="B60" s="69"/>
      <c r="C60" s="65" t="str">
        <f aca="false">IF($B60="","",MONTH($B60))</f>
        <v/>
      </c>
      <c r="D60" s="70"/>
      <c r="E60" s="70"/>
      <c r="F60" s="70"/>
      <c r="G60" s="70"/>
      <c r="H60" s="70"/>
      <c r="I60" s="70"/>
      <c r="J60" s="71"/>
      <c r="K60" s="72"/>
      <c r="L60" s="4"/>
      <c r="M60" s="4"/>
      <c r="N60" s="4"/>
      <c r="O60" s="4"/>
      <c r="P60" s="4"/>
      <c r="Q60" s="4"/>
    </row>
    <row r="61" customFormat="false" ht="18" hidden="false" customHeight="true" outlineLevel="0" collapsed="false">
      <c r="A61" s="63" t="str">
        <f aca="false">IF($B61="","","PG-"&amp;TEXT(ROW()-5,"0000"))</f>
        <v/>
      </c>
      <c r="B61" s="64"/>
      <c r="C61" s="65" t="str">
        <f aca="false">IF($B61="","",MONTH($B61))</f>
        <v/>
      </c>
      <c r="D61" s="66"/>
      <c r="E61" s="66"/>
      <c r="F61" s="66"/>
      <c r="G61" s="66"/>
      <c r="H61" s="66"/>
      <c r="I61" s="66"/>
      <c r="J61" s="67"/>
      <c r="K61" s="68"/>
      <c r="L61" s="4"/>
      <c r="M61" s="4"/>
      <c r="N61" s="4"/>
      <c r="O61" s="4"/>
      <c r="P61" s="4"/>
      <c r="Q61" s="4"/>
    </row>
    <row r="62" customFormat="false" ht="18" hidden="false" customHeight="true" outlineLevel="0" collapsed="false">
      <c r="A62" s="63" t="str">
        <f aca="false">IF($B62="","","PG-"&amp;TEXT(ROW()-5,"0000"))</f>
        <v/>
      </c>
      <c r="B62" s="69"/>
      <c r="C62" s="65" t="str">
        <f aca="false">IF($B62="","",MONTH($B62))</f>
        <v/>
      </c>
      <c r="D62" s="70"/>
      <c r="E62" s="70"/>
      <c r="F62" s="70"/>
      <c r="G62" s="70"/>
      <c r="H62" s="70"/>
      <c r="I62" s="70"/>
      <c r="J62" s="71"/>
      <c r="K62" s="72"/>
      <c r="L62" s="4"/>
      <c r="M62" s="4"/>
      <c r="N62" s="4"/>
      <c r="O62" s="4"/>
      <c r="P62" s="4"/>
      <c r="Q62" s="4"/>
    </row>
    <row r="63" customFormat="false" ht="18" hidden="false" customHeight="true" outlineLevel="0" collapsed="false">
      <c r="A63" s="63" t="str">
        <f aca="false">IF($B63="","","PG-"&amp;TEXT(ROW()-5,"0000"))</f>
        <v/>
      </c>
      <c r="B63" s="64"/>
      <c r="C63" s="65" t="str">
        <f aca="false">IF($B63="","",MONTH($B63))</f>
        <v/>
      </c>
      <c r="D63" s="66"/>
      <c r="E63" s="66"/>
      <c r="F63" s="66"/>
      <c r="G63" s="66"/>
      <c r="H63" s="66"/>
      <c r="I63" s="66"/>
      <c r="J63" s="67"/>
      <c r="K63" s="68"/>
      <c r="L63" s="4"/>
      <c r="M63" s="4"/>
      <c r="N63" s="4"/>
      <c r="O63" s="4"/>
      <c r="P63" s="4"/>
      <c r="Q63" s="4"/>
    </row>
    <row r="64" customFormat="false" ht="18" hidden="false" customHeight="true" outlineLevel="0" collapsed="false">
      <c r="A64" s="63" t="str">
        <f aca="false">IF($B64="","","PG-"&amp;TEXT(ROW()-5,"0000"))</f>
        <v/>
      </c>
      <c r="B64" s="69"/>
      <c r="C64" s="65" t="str">
        <f aca="false">IF($B64="","",MONTH($B64))</f>
        <v/>
      </c>
      <c r="D64" s="70"/>
      <c r="E64" s="70"/>
      <c r="F64" s="70"/>
      <c r="G64" s="70"/>
      <c r="H64" s="70"/>
      <c r="I64" s="70"/>
      <c r="J64" s="71"/>
      <c r="K64" s="72"/>
      <c r="L64" s="4"/>
      <c r="M64" s="4"/>
      <c r="N64" s="4"/>
      <c r="O64" s="4"/>
      <c r="P64" s="4"/>
      <c r="Q64" s="4"/>
    </row>
    <row r="65" customFormat="false" ht="18" hidden="false" customHeight="true" outlineLevel="0" collapsed="false">
      <c r="A65" s="63" t="str">
        <f aca="false">IF($B65="","","PG-"&amp;TEXT(ROW()-5,"0000"))</f>
        <v/>
      </c>
      <c r="B65" s="64"/>
      <c r="C65" s="65" t="str">
        <f aca="false">IF($B65="","",MONTH($B65))</f>
        <v/>
      </c>
      <c r="D65" s="66"/>
      <c r="E65" s="66"/>
      <c r="F65" s="66"/>
      <c r="G65" s="66"/>
      <c r="H65" s="66"/>
      <c r="I65" s="66"/>
      <c r="J65" s="67"/>
      <c r="K65" s="68"/>
      <c r="L65" s="4"/>
      <c r="M65" s="4"/>
      <c r="N65" s="4"/>
      <c r="O65" s="4"/>
      <c r="P65" s="4"/>
      <c r="Q65" s="4"/>
    </row>
    <row r="66" customFormat="false" ht="18" hidden="false" customHeight="true" outlineLevel="0" collapsed="false">
      <c r="A66" s="63" t="str">
        <f aca="false">IF($B66="","","PG-"&amp;TEXT(ROW()-5,"0000"))</f>
        <v/>
      </c>
      <c r="B66" s="69"/>
      <c r="C66" s="65" t="str">
        <f aca="false">IF($B66="","",MONTH($B66))</f>
        <v/>
      </c>
      <c r="D66" s="70"/>
      <c r="E66" s="70"/>
      <c r="F66" s="70"/>
      <c r="G66" s="70"/>
      <c r="H66" s="70"/>
      <c r="I66" s="70"/>
      <c r="J66" s="71"/>
      <c r="K66" s="72"/>
      <c r="L66" s="4"/>
      <c r="M66" s="4"/>
      <c r="N66" s="4"/>
      <c r="O66" s="4"/>
      <c r="P66" s="4"/>
      <c r="Q66" s="4"/>
    </row>
    <row r="67" customFormat="false" ht="18" hidden="false" customHeight="true" outlineLevel="0" collapsed="false">
      <c r="A67" s="63" t="str">
        <f aca="false">IF($B67="","","PG-"&amp;TEXT(ROW()-5,"0000"))</f>
        <v/>
      </c>
      <c r="B67" s="64"/>
      <c r="C67" s="65" t="str">
        <f aca="false">IF($B67="","",MONTH($B67))</f>
        <v/>
      </c>
      <c r="D67" s="66"/>
      <c r="E67" s="66"/>
      <c r="F67" s="66"/>
      <c r="G67" s="66"/>
      <c r="H67" s="66"/>
      <c r="I67" s="66"/>
      <c r="J67" s="67"/>
      <c r="K67" s="68"/>
      <c r="L67" s="4"/>
      <c r="M67" s="4"/>
      <c r="N67" s="4"/>
      <c r="O67" s="4"/>
      <c r="P67" s="4"/>
      <c r="Q67" s="4"/>
    </row>
    <row r="68" customFormat="false" ht="18" hidden="false" customHeight="true" outlineLevel="0" collapsed="false">
      <c r="A68" s="63" t="str">
        <f aca="false">IF($B68="","","PG-"&amp;TEXT(ROW()-5,"0000"))</f>
        <v/>
      </c>
      <c r="B68" s="69"/>
      <c r="C68" s="65" t="str">
        <f aca="false">IF($B68="","",MONTH($B68))</f>
        <v/>
      </c>
      <c r="D68" s="70"/>
      <c r="E68" s="70"/>
      <c r="F68" s="70"/>
      <c r="G68" s="70"/>
      <c r="H68" s="70"/>
      <c r="I68" s="70"/>
      <c r="J68" s="71"/>
      <c r="K68" s="72"/>
      <c r="L68" s="4"/>
      <c r="M68" s="4"/>
      <c r="N68" s="4"/>
      <c r="O68" s="4"/>
      <c r="P68" s="4"/>
      <c r="Q68" s="4"/>
    </row>
    <row r="69" customFormat="false" ht="18" hidden="false" customHeight="true" outlineLevel="0" collapsed="false">
      <c r="A69" s="63" t="str">
        <f aca="false">IF($B69="","","PG-"&amp;TEXT(ROW()-5,"0000"))</f>
        <v/>
      </c>
      <c r="B69" s="64"/>
      <c r="C69" s="65" t="str">
        <f aca="false">IF($B69="","",MONTH($B69))</f>
        <v/>
      </c>
      <c r="D69" s="66"/>
      <c r="E69" s="66"/>
      <c r="F69" s="66"/>
      <c r="G69" s="66"/>
      <c r="H69" s="66"/>
      <c r="I69" s="66"/>
      <c r="J69" s="67"/>
      <c r="K69" s="68"/>
      <c r="L69" s="4"/>
      <c r="M69" s="4"/>
      <c r="N69" s="4"/>
      <c r="O69" s="4"/>
      <c r="P69" s="4"/>
      <c r="Q69" s="4"/>
    </row>
    <row r="70" customFormat="false" ht="18" hidden="false" customHeight="true" outlineLevel="0" collapsed="false">
      <c r="A70" s="63" t="str">
        <f aca="false">IF($B70="","","PG-"&amp;TEXT(ROW()-5,"0000"))</f>
        <v/>
      </c>
      <c r="B70" s="69"/>
      <c r="C70" s="65" t="str">
        <f aca="false">IF($B70="","",MONTH($B70))</f>
        <v/>
      </c>
      <c r="D70" s="70"/>
      <c r="E70" s="70"/>
      <c r="F70" s="70"/>
      <c r="G70" s="70"/>
      <c r="H70" s="70"/>
      <c r="I70" s="70"/>
      <c r="J70" s="71"/>
      <c r="K70" s="72"/>
      <c r="L70" s="4"/>
      <c r="M70" s="4"/>
      <c r="N70" s="4"/>
      <c r="O70" s="4"/>
      <c r="P70" s="4"/>
      <c r="Q70" s="4"/>
    </row>
    <row r="71" customFormat="false" ht="18" hidden="false" customHeight="true" outlineLevel="0" collapsed="false">
      <c r="A71" s="63" t="str">
        <f aca="false">IF($B71="","","PG-"&amp;TEXT(ROW()-5,"0000"))</f>
        <v/>
      </c>
      <c r="B71" s="64"/>
      <c r="C71" s="65" t="str">
        <f aca="false">IF($B71="","",MONTH($B71))</f>
        <v/>
      </c>
      <c r="D71" s="66"/>
      <c r="E71" s="66"/>
      <c r="F71" s="66"/>
      <c r="G71" s="66"/>
      <c r="H71" s="66"/>
      <c r="I71" s="66"/>
      <c r="J71" s="67"/>
      <c r="K71" s="68"/>
      <c r="L71" s="4"/>
      <c r="M71" s="4"/>
      <c r="N71" s="4"/>
      <c r="O71" s="4"/>
      <c r="P71" s="4"/>
      <c r="Q71" s="4"/>
    </row>
    <row r="72" customFormat="false" ht="18" hidden="false" customHeight="true" outlineLevel="0" collapsed="false">
      <c r="A72" s="63" t="str">
        <f aca="false">IF($B72="","","PG-"&amp;TEXT(ROW()-5,"0000"))</f>
        <v/>
      </c>
      <c r="B72" s="69"/>
      <c r="C72" s="65" t="str">
        <f aca="false">IF($B72="","",MONTH($B72))</f>
        <v/>
      </c>
      <c r="D72" s="70"/>
      <c r="E72" s="70"/>
      <c r="F72" s="70"/>
      <c r="G72" s="70"/>
      <c r="H72" s="70"/>
      <c r="I72" s="70"/>
      <c r="J72" s="71"/>
      <c r="K72" s="72"/>
      <c r="L72" s="4"/>
      <c r="M72" s="4"/>
      <c r="N72" s="4"/>
      <c r="O72" s="4"/>
      <c r="P72" s="4"/>
      <c r="Q72" s="4"/>
    </row>
    <row r="73" customFormat="false" ht="18" hidden="false" customHeight="true" outlineLevel="0" collapsed="false">
      <c r="A73" s="63" t="str">
        <f aca="false">IF($B73="","","PG-"&amp;TEXT(ROW()-5,"0000"))</f>
        <v/>
      </c>
      <c r="B73" s="64"/>
      <c r="C73" s="65" t="str">
        <f aca="false">IF($B73="","",MONTH($B73))</f>
        <v/>
      </c>
      <c r="D73" s="66"/>
      <c r="E73" s="66"/>
      <c r="F73" s="66"/>
      <c r="G73" s="66"/>
      <c r="H73" s="66"/>
      <c r="I73" s="66"/>
      <c r="J73" s="67"/>
      <c r="K73" s="68"/>
      <c r="L73" s="4"/>
      <c r="M73" s="4"/>
      <c r="N73" s="4"/>
      <c r="O73" s="4"/>
      <c r="P73" s="4"/>
      <c r="Q73" s="4"/>
    </row>
    <row r="74" customFormat="false" ht="18" hidden="false" customHeight="true" outlineLevel="0" collapsed="false">
      <c r="A74" s="63" t="str">
        <f aca="false">IF($B74="","","PG-"&amp;TEXT(ROW()-5,"0000"))</f>
        <v/>
      </c>
      <c r="B74" s="69"/>
      <c r="C74" s="65" t="str">
        <f aca="false">IF($B74="","",MONTH($B74))</f>
        <v/>
      </c>
      <c r="D74" s="70"/>
      <c r="E74" s="70"/>
      <c r="F74" s="70"/>
      <c r="G74" s="70"/>
      <c r="H74" s="70"/>
      <c r="I74" s="70"/>
      <c r="J74" s="71"/>
      <c r="K74" s="72"/>
      <c r="L74" s="4"/>
      <c r="M74" s="4"/>
      <c r="N74" s="4"/>
      <c r="O74" s="4"/>
      <c r="P74" s="4"/>
      <c r="Q74" s="4"/>
    </row>
    <row r="75" customFormat="false" ht="18" hidden="false" customHeight="true" outlineLevel="0" collapsed="false">
      <c r="A75" s="63" t="str">
        <f aca="false">IF($B75="","","PG-"&amp;TEXT(ROW()-5,"0000"))</f>
        <v/>
      </c>
      <c r="B75" s="64"/>
      <c r="C75" s="65" t="str">
        <f aca="false">IF($B75="","",MONTH($B75))</f>
        <v/>
      </c>
      <c r="D75" s="66"/>
      <c r="E75" s="66"/>
      <c r="F75" s="66"/>
      <c r="G75" s="66"/>
      <c r="H75" s="66"/>
      <c r="I75" s="66"/>
      <c r="J75" s="67"/>
      <c r="K75" s="68"/>
      <c r="L75" s="4"/>
      <c r="M75" s="4"/>
      <c r="N75" s="4"/>
      <c r="O75" s="4"/>
      <c r="P75" s="4"/>
      <c r="Q75" s="4"/>
    </row>
    <row r="76" customFormat="false" ht="18" hidden="false" customHeight="true" outlineLevel="0" collapsed="false">
      <c r="A76" s="63" t="str">
        <f aca="false">IF($B76="","","PG-"&amp;TEXT(ROW()-5,"0000"))</f>
        <v/>
      </c>
      <c r="B76" s="69"/>
      <c r="C76" s="65" t="str">
        <f aca="false">IF($B76="","",MONTH($B76))</f>
        <v/>
      </c>
      <c r="D76" s="70"/>
      <c r="E76" s="70"/>
      <c r="F76" s="70"/>
      <c r="G76" s="70"/>
      <c r="H76" s="70"/>
      <c r="I76" s="70"/>
      <c r="J76" s="71"/>
      <c r="K76" s="72"/>
      <c r="L76" s="4"/>
      <c r="M76" s="4"/>
      <c r="N76" s="4"/>
      <c r="O76" s="4"/>
      <c r="P76" s="4"/>
      <c r="Q76" s="4"/>
    </row>
    <row r="77" customFormat="false" ht="18" hidden="false" customHeight="true" outlineLevel="0" collapsed="false">
      <c r="A77" s="63" t="str">
        <f aca="false">IF($B77="","","PG-"&amp;TEXT(ROW()-5,"0000"))</f>
        <v/>
      </c>
      <c r="B77" s="64"/>
      <c r="C77" s="65" t="str">
        <f aca="false">IF($B77="","",MONTH($B77))</f>
        <v/>
      </c>
      <c r="D77" s="66"/>
      <c r="E77" s="66"/>
      <c r="F77" s="66"/>
      <c r="G77" s="66"/>
      <c r="H77" s="66"/>
      <c r="I77" s="66"/>
      <c r="J77" s="67"/>
      <c r="K77" s="68"/>
      <c r="L77" s="4"/>
      <c r="M77" s="4"/>
      <c r="N77" s="4"/>
      <c r="O77" s="4"/>
      <c r="P77" s="4"/>
      <c r="Q77" s="4"/>
    </row>
    <row r="78" customFormat="false" ht="18" hidden="false" customHeight="true" outlineLevel="0" collapsed="false">
      <c r="A78" s="63" t="str">
        <f aca="false">IF($B78="","","PG-"&amp;TEXT(ROW()-5,"0000"))</f>
        <v/>
      </c>
      <c r="B78" s="69"/>
      <c r="C78" s="65" t="str">
        <f aca="false">IF($B78="","",MONTH($B78))</f>
        <v/>
      </c>
      <c r="D78" s="70"/>
      <c r="E78" s="70"/>
      <c r="F78" s="70"/>
      <c r="G78" s="70"/>
      <c r="H78" s="70"/>
      <c r="I78" s="70"/>
      <c r="J78" s="71"/>
      <c r="K78" s="72"/>
      <c r="L78" s="4"/>
      <c r="M78" s="4"/>
      <c r="N78" s="4"/>
      <c r="O78" s="4"/>
      <c r="P78" s="4"/>
      <c r="Q78" s="4"/>
    </row>
    <row r="79" customFormat="false" ht="18" hidden="false" customHeight="true" outlineLevel="0" collapsed="false">
      <c r="A79" s="63" t="str">
        <f aca="false">IF($B79="","","PG-"&amp;TEXT(ROW()-5,"0000"))</f>
        <v/>
      </c>
      <c r="B79" s="64"/>
      <c r="C79" s="65" t="str">
        <f aca="false">IF($B79="","",MONTH($B79))</f>
        <v/>
      </c>
      <c r="D79" s="66"/>
      <c r="E79" s="66"/>
      <c r="F79" s="66"/>
      <c r="G79" s="66"/>
      <c r="H79" s="66"/>
      <c r="I79" s="66"/>
      <c r="J79" s="67"/>
      <c r="K79" s="68"/>
      <c r="L79" s="4"/>
      <c r="M79" s="4"/>
      <c r="N79" s="4"/>
      <c r="O79" s="4"/>
      <c r="P79" s="4"/>
      <c r="Q79" s="4"/>
    </row>
    <row r="80" customFormat="false" ht="18" hidden="false" customHeight="true" outlineLevel="0" collapsed="false">
      <c r="A80" s="63" t="str">
        <f aca="false">IF($B80="","","PG-"&amp;TEXT(ROW()-5,"0000"))</f>
        <v/>
      </c>
      <c r="B80" s="69"/>
      <c r="C80" s="65" t="str">
        <f aca="false">IF($B80="","",MONTH($B80))</f>
        <v/>
      </c>
      <c r="D80" s="70"/>
      <c r="E80" s="70"/>
      <c r="F80" s="70"/>
      <c r="G80" s="70"/>
      <c r="H80" s="70"/>
      <c r="I80" s="70"/>
      <c r="J80" s="71"/>
      <c r="K80" s="72"/>
      <c r="L80" s="4"/>
      <c r="M80" s="4"/>
      <c r="N80" s="4"/>
      <c r="O80" s="4"/>
      <c r="P80" s="4"/>
      <c r="Q80" s="4"/>
    </row>
    <row r="81" customFormat="false" ht="18" hidden="false" customHeight="true" outlineLevel="0" collapsed="false">
      <c r="A81" s="63" t="str">
        <f aca="false">IF($B81="","","PG-"&amp;TEXT(ROW()-5,"0000"))</f>
        <v/>
      </c>
      <c r="B81" s="64"/>
      <c r="C81" s="65" t="str">
        <f aca="false">IF($B81="","",MONTH($B81))</f>
        <v/>
      </c>
      <c r="D81" s="66"/>
      <c r="E81" s="66"/>
      <c r="F81" s="66"/>
      <c r="G81" s="66"/>
      <c r="H81" s="66"/>
      <c r="I81" s="66"/>
      <c r="J81" s="67"/>
      <c r="K81" s="68"/>
      <c r="L81" s="4"/>
      <c r="M81" s="4"/>
      <c r="N81" s="4"/>
      <c r="O81" s="4"/>
      <c r="P81" s="4"/>
      <c r="Q81" s="4"/>
    </row>
    <row r="82" customFormat="false" ht="18" hidden="false" customHeight="true" outlineLevel="0" collapsed="false">
      <c r="A82" s="63" t="str">
        <f aca="false">IF($B82="","","PG-"&amp;TEXT(ROW()-5,"0000"))</f>
        <v/>
      </c>
      <c r="B82" s="69"/>
      <c r="C82" s="65" t="str">
        <f aca="false">IF($B82="","",MONTH($B82))</f>
        <v/>
      </c>
      <c r="D82" s="70"/>
      <c r="E82" s="70"/>
      <c r="F82" s="70"/>
      <c r="G82" s="70"/>
      <c r="H82" s="70"/>
      <c r="I82" s="70"/>
      <c r="J82" s="71"/>
      <c r="K82" s="72"/>
      <c r="L82" s="4"/>
      <c r="M82" s="4"/>
      <c r="N82" s="4"/>
      <c r="O82" s="4"/>
      <c r="P82" s="4"/>
      <c r="Q82" s="4"/>
    </row>
    <row r="83" customFormat="false" ht="18" hidden="false" customHeight="true" outlineLevel="0" collapsed="false">
      <c r="A83" s="63" t="str">
        <f aca="false">IF($B83="","","PG-"&amp;TEXT(ROW()-5,"0000"))</f>
        <v/>
      </c>
      <c r="B83" s="64"/>
      <c r="C83" s="65" t="str">
        <f aca="false">IF($B83="","",MONTH($B83))</f>
        <v/>
      </c>
      <c r="D83" s="66"/>
      <c r="E83" s="66"/>
      <c r="F83" s="66"/>
      <c r="G83" s="66"/>
      <c r="H83" s="66"/>
      <c r="I83" s="66"/>
      <c r="J83" s="67"/>
      <c r="K83" s="68"/>
      <c r="L83" s="4"/>
      <c r="M83" s="4"/>
      <c r="N83" s="4"/>
      <c r="O83" s="4"/>
      <c r="P83" s="4"/>
      <c r="Q83" s="4"/>
    </row>
    <row r="84" customFormat="false" ht="18" hidden="false" customHeight="true" outlineLevel="0" collapsed="false">
      <c r="A84" s="63" t="str">
        <f aca="false">IF($B84="","","PG-"&amp;TEXT(ROW()-5,"0000"))</f>
        <v/>
      </c>
      <c r="B84" s="69"/>
      <c r="C84" s="65" t="str">
        <f aca="false">IF($B84="","",MONTH($B84))</f>
        <v/>
      </c>
      <c r="D84" s="70"/>
      <c r="E84" s="70"/>
      <c r="F84" s="70"/>
      <c r="G84" s="70"/>
      <c r="H84" s="70"/>
      <c r="I84" s="70"/>
      <c r="J84" s="71"/>
      <c r="K84" s="72"/>
      <c r="L84" s="4"/>
      <c r="M84" s="4"/>
      <c r="N84" s="4"/>
      <c r="O84" s="4"/>
      <c r="P84" s="4"/>
      <c r="Q84" s="4"/>
    </row>
    <row r="85" customFormat="false" ht="18" hidden="false" customHeight="true" outlineLevel="0" collapsed="false">
      <c r="A85" s="63" t="str">
        <f aca="false">IF($B85="","","PG-"&amp;TEXT(ROW()-5,"0000"))</f>
        <v/>
      </c>
      <c r="B85" s="64"/>
      <c r="C85" s="65" t="str">
        <f aca="false">IF($B85="","",MONTH($B85))</f>
        <v/>
      </c>
      <c r="D85" s="66"/>
      <c r="E85" s="66"/>
      <c r="F85" s="66"/>
      <c r="G85" s="66"/>
      <c r="H85" s="66"/>
      <c r="I85" s="66"/>
      <c r="J85" s="67"/>
      <c r="K85" s="68"/>
      <c r="L85" s="4"/>
      <c r="M85" s="4"/>
      <c r="N85" s="4"/>
      <c r="O85" s="4"/>
      <c r="P85" s="4"/>
      <c r="Q85" s="4"/>
    </row>
    <row r="86" customFormat="false" ht="18" hidden="false" customHeight="true" outlineLevel="0" collapsed="false">
      <c r="A86" s="63" t="str">
        <f aca="false">IF($B86="","","PG-"&amp;TEXT(ROW()-5,"0000"))</f>
        <v/>
      </c>
      <c r="B86" s="69"/>
      <c r="C86" s="65" t="str">
        <f aca="false">IF($B86="","",MONTH($B86))</f>
        <v/>
      </c>
      <c r="D86" s="70"/>
      <c r="E86" s="70"/>
      <c r="F86" s="70"/>
      <c r="G86" s="70"/>
      <c r="H86" s="70"/>
      <c r="I86" s="70"/>
      <c r="J86" s="71"/>
      <c r="K86" s="72"/>
      <c r="L86" s="4"/>
      <c r="M86" s="4"/>
      <c r="N86" s="4"/>
      <c r="O86" s="4"/>
      <c r="P86" s="4"/>
      <c r="Q86" s="4"/>
    </row>
    <row r="87" customFormat="false" ht="18" hidden="false" customHeight="true" outlineLevel="0" collapsed="false">
      <c r="A87" s="63" t="str">
        <f aca="false">IF($B87="","","PG-"&amp;TEXT(ROW()-5,"0000"))</f>
        <v/>
      </c>
      <c r="B87" s="64"/>
      <c r="C87" s="65" t="str">
        <f aca="false">IF($B87="","",MONTH($B87))</f>
        <v/>
      </c>
      <c r="D87" s="66"/>
      <c r="E87" s="66"/>
      <c r="F87" s="66"/>
      <c r="G87" s="66"/>
      <c r="H87" s="66"/>
      <c r="I87" s="66"/>
      <c r="J87" s="67"/>
      <c r="K87" s="68"/>
      <c r="L87" s="4"/>
      <c r="M87" s="4"/>
      <c r="N87" s="4"/>
      <c r="O87" s="4"/>
      <c r="P87" s="4"/>
      <c r="Q87" s="4"/>
    </row>
    <row r="88" customFormat="false" ht="18" hidden="false" customHeight="true" outlineLevel="0" collapsed="false">
      <c r="A88" s="63" t="str">
        <f aca="false">IF($B88="","","PG-"&amp;TEXT(ROW()-5,"0000"))</f>
        <v/>
      </c>
      <c r="B88" s="69"/>
      <c r="C88" s="65" t="str">
        <f aca="false">IF($B88="","",MONTH($B88))</f>
        <v/>
      </c>
      <c r="D88" s="70"/>
      <c r="E88" s="70"/>
      <c r="F88" s="70"/>
      <c r="G88" s="70"/>
      <c r="H88" s="70"/>
      <c r="I88" s="70"/>
      <c r="J88" s="71"/>
      <c r="K88" s="72"/>
      <c r="L88" s="4"/>
      <c r="M88" s="4"/>
      <c r="N88" s="4"/>
      <c r="O88" s="4"/>
      <c r="P88" s="4"/>
      <c r="Q88" s="4"/>
    </row>
    <row r="89" customFormat="false" ht="18" hidden="false" customHeight="true" outlineLevel="0" collapsed="false">
      <c r="A89" s="63" t="str">
        <f aca="false">IF($B89="","","PG-"&amp;TEXT(ROW()-5,"0000"))</f>
        <v/>
      </c>
      <c r="B89" s="64"/>
      <c r="C89" s="65" t="str">
        <f aca="false">IF($B89="","",MONTH($B89))</f>
        <v/>
      </c>
      <c r="D89" s="66"/>
      <c r="E89" s="66"/>
      <c r="F89" s="66"/>
      <c r="G89" s="66"/>
      <c r="H89" s="66"/>
      <c r="I89" s="66"/>
      <c r="J89" s="67"/>
      <c r="K89" s="68"/>
      <c r="L89" s="4"/>
      <c r="M89" s="4"/>
      <c r="N89" s="4"/>
      <c r="O89" s="4"/>
      <c r="P89" s="4"/>
      <c r="Q89" s="4"/>
    </row>
    <row r="90" customFormat="false" ht="18" hidden="false" customHeight="true" outlineLevel="0" collapsed="false">
      <c r="A90" s="63" t="str">
        <f aca="false">IF($B90="","","PG-"&amp;TEXT(ROW()-5,"0000"))</f>
        <v/>
      </c>
      <c r="B90" s="69"/>
      <c r="C90" s="65" t="str">
        <f aca="false">IF($B90="","",MONTH($B90))</f>
        <v/>
      </c>
      <c r="D90" s="70"/>
      <c r="E90" s="70"/>
      <c r="F90" s="70"/>
      <c r="G90" s="70"/>
      <c r="H90" s="70"/>
      <c r="I90" s="70"/>
      <c r="J90" s="71"/>
      <c r="K90" s="72"/>
      <c r="L90" s="4"/>
      <c r="M90" s="4"/>
      <c r="N90" s="4"/>
      <c r="O90" s="4"/>
      <c r="P90" s="4"/>
      <c r="Q90" s="4"/>
    </row>
    <row r="91" customFormat="false" ht="18" hidden="false" customHeight="true" outlineLevel="0" collapsed="false">
      <c r="A91" s="63" t="str">
        <f aca="false">IF($B91="","","PG-"&amp;TEXT(ROW()-5,"0000"))</f>
        <v/>
      </c>
      <c r="B91" s="64"/>
      <c r="C91" s="65" t="str">
        <f aca="false">IF($B91="","",MONTH($B91))</f>
        <v/>
      </c>
      <c r="D91" s="66"/>
      <c r="E91" s="66"/>
      <c r="F91" s="66"/>
      <c r="G91" s="66"/>
      <c r="H91" s="66"/>
      <c r="I91" s="66"/>
      <c r="J91" s="67"/>
      <c r="K91" s="68"/>
      <c r="L91" s="4"/>
      <c r="M91" s="4"/>
      <c r="N91" s="4"/>
      <c r="O91" s="4"/>
      <c r="P91" s="4"/>
      <c r="Q91" s="4"/>
    </row>
    <row r="92" customFormat="false" ht="18" hidden="false" customHeight="true" outlineLevel="0" collapsed="false">
      <c r="A92" s="63" t="str">
        <f aca="false">IF($B92="","","PG-"&amp;TEXT(ROW()-5,"0000"))</f>
        <v/>
      </c>
      <c r="B92" s="69"/>
      <c r="C92" s="65" t="str">
        <f aca="false">IF($B92="","",MONTH($B92))</f>
        <v/>
      </c>
      <c r="D92" s="70"/>
      <c r="E92" s="70"/>
      <c r="F92" s="70"/>
      <c r="G92" s="70"/>
      <c r="H92" s="70"/>
      <c r="I92" s="70"/>
      <c r="J92" s="71"/>
      <c r="K92" s="72"/>
      <c r="L92" s="4"/>
      <c r="M92" s="4"/>
      <c r="N92" s="4"/>
      <c r="O92" s="4"/>
      <c r="P92" s="4"/>
      <c r="Q92" s="4"/>
    </row>
    <row r="93" customFormat="false" ht="18" hidden="false" customHeight="true" outlineLevel="0" collapsed="false">
      <c r="A93" s="63" t="str">
        <f aca="false">IF($B93="","","PG-"&amp;TEXT(ROW()-5,"0000"))</f>
        <v/>
      </c>
      <c r="B93" s="64"/>
      <c r="C93" s="65" t="str">
        <f aca="false">IF($B93="","",MONTH($B93))</f>
        <v/>
      </c>
      <c r="D93" s="66"/>
      <c r="E93" s="66"/>
      <c r="F93" s="66"/>
      <c r="G93" s="66"/>
      <c r="H93" s="66"/>
      <c r="I93" s="66"/>
      <c r="J93" s="67"/>
      <c r="K93" s="68"/>
      <c r="L93" s="4"/>
      <c r="M93" s="4"/>
      <c r="N93" s="4"/>
      <c r="O93" s="4"/>
      <c r="P93" s="4"/>
      <c r="Q93" s="4"/>
    </row>
    <row r="94" customFormat="false" ht="18" hidden="false" customHeight="true" outlineLevel="0" collapsed="false">
      <c r="A94" s="63" t="str">
        <f aca="false">IF($B94="","","PG-"&amp;TEXT(ROW()-5,"0000"))</f>
        <v/>
      </c>
      <c r="B94" s="69"/>
      <c r="C94" s="65" t="str">
        <f aca="false">IF($B94="","",MONTH($B94))</f>
        <v/>
      </c>
      <c r="D94" s="70"/>
      <c r="E94" s="70"/>
      <c r="F94" s="70"/>
      <c r="G94" s="70"/>
      <c r="H94" s="70"/>
      <c r="I94" s="70"/>
      <c r="J94" s="71"/>
      <c r="K94" s="72"/>
      <c r="L94" s="4"/>
      <c r="M94" s="4"/>
      <c r="N94" s="4"/>
      <c r="O94" s="4"/>
      <c r="P94" s="4"/>
      <c r="Q94" s="4"/>
    </row>
    <row r="95" customFormat="false" ht="18" hidden="false" customHeight="true" outlineLevel="0" collapsed="false">
      <c r="A95" s="63" t="str">
        <f aca="false">IF($B95="","","PG-"&amp;TEXT(ROW()-5,"0000"))</f>
        <v/>
      </c>
      <c r="B95" s="64"/>
      <c r="C95" s="65" t="str">
        <f aca="false">IF($B95="","",MONTH($B95))</f>
        <v/>
      </c>
      <c r="D95" s="66"/>
      <c r="E95" s="66"/>
      <c r="F95" s="66"/>
      <c r="G95" s="66"/>
      <c r="H95" s="66"/>
      <c r="I95" s="66"/>
      <c r="J95" s="67"/>
      <c r="K95" s="68"/>
      <c r="L95" s="4"/>
      <c r="M95" s="4"/>
      <c r="N95" s="4"/>
      <c r="O95" s="4"/>
      <c r="P95" s="4"/>
      <c r="Q95" s="4"/>
    </row>
    <row r="96" customFormat="false" ht="18" hidden="false" customHeight="true" outlineLevel="0" collapsed="false">
      <c r="A96" s="63" t="str">
        <f aca="false">IF($B96="","","PG-"&amp;TEXT(ROW()-5,"0000"))</f>
        <v/>
      </c>
      <c r="B96" s="69"/>
      <c r="C96" s="65" t="str">
        <f aca="false">IF($B96="","",MONTH($B96))</f>
        <v/>
      </c>
      <c r="D96" s="70"/>
      <c r="E96" s="70"/>
      <c r="F96" s="70"/>
      <c r="G96" s="70"/>
      <c r="H96" s="70"/>
      <c r="I96" s="70"/>
      <c r="J96" s="71"/>
      <c r="K96" s="72"/>
      <c r="L96" s="4"/>
      <c r="M96" s="4"/>
      <c r="N96" s="4"/>
      <c r="O96" s="4"/>
      <c r="P96" s="4"/>
      <c r="Q96" s="4"/>
    </row>
    <row r="97" customFormat="false" ht="18" hidden="false" customHeight="true" outlineLevel="0" collapsed="false">
      <c r="A97" s="63" t="str">
        <f aca="false">IF($B97="","","PG-"&amp;TEXT(ROW()-5,"0000"))</f>
        <v/>
      </c>
      <c r="B97" s="64"/>
      <c r="C97" s="65" t="str">
        <f aca="false">IF($B97="","",MONTH($B97))</f>
        <v/>
      </c>
      <c r="D97" s="66"/>
      <c r="E97" s="66"/>
      <c r="F97" s="66"/>
      <c r="G97" s="66"/>
      <c r="H97" s="66"/>
      <c r="I97" s="66"/>
      <c r="J97" s="67"/>
      <c r="K97" s="68"/>
      <c r="L97" s="4"/>
      <c r="M97" s="4"/>
      <c r="N97" s="4"/>
      <c r="O97" s="4"/>
      <c r="P97" s="4"/>
      <c r="Q97" s="4"/>
    </row>
    <row r="98" customFormat="false" ht="18" hidden="false" customHeight="true" outlineLevel="0" collapsed="false">
      <c r="A98" s="63" t="str">
        <f aca="false">IF($B98="","","PG-"&amp;TEXT(ROW()-5,"0000"))</f>
        <v/>
      </c>
      <c r="B98" s="69"/>
      <c r="C98" s="65" t="str">
        <f aca="false">IF($B98="","",MONTH($B98))</f>
        <v/>
      </c>
      <c r="D98" s="70"/>
      <c r="E98" s="70"/>
      <c r="F98" s="70"/>
      <c r="G98" s="70"/>
      <c r="H98" s="70"/>
      <c r="I98" s="70"/>
      <c r="J98" s="71"/>
      <c r="K98" s="72"/>
      <c r="L98" s="4"/>
      <c r="M98" s="4"/>
      <c r="N98" s="4"/>
      <c r="O98" s="4"/>
      <c r="P98" s="4"/>
      <c r="Q98" s="4"/>
    </row>
    <row r="99" customFormat="false" ht="18" hidden="false" customHeight="true" outlineLevel="0" collapsed="false">
      <c r="A99" s="63" t="str">
        <f aca="false">IF($B99="","","PG-"&amp;TEXT(ROW()-5,"0000"))</f>
        <v/>
      </c>
      <c r="B99" s="64"/>
      <c r="C99" s="65" t="str">
        <f aca="false">IF($B99="","",MONTH($B99))</f>
        <v/>
      </c>
      <c r="D99" s="66"/>
      <c r="E99" s="66"/>
      <c r="F99" s="66"/>
      <c r="G99" s="66"/>
      <c r="H99" s="66"/>
      <c r="I99" s="66"/>
      <c r="J99" s="67"/>
      <c r="K99" s="68"/>
      <c r="L99" s="4"/>
      <c r="M99" s="4"/>
      <c r="N99" s="4"/>
      <c r="O99" s="4"/>
      <c r="P99" s="4"/>
      <c r="Q99" s="4"/>
    </row>
    <row r="100" customFormat="false" ht="18" hidden="false" customHeight="true" outlineLevel="0" collapsed="false">
      <c r="A100" s="63" t="str">
        <f aca="false">IF($B100="","","PG-"&amp;TEXT(ROW()-5,"0000"))</f>
        <v/>
      </c>
      <c r="B100" s="69"/>
      <c r="C100" s="65" t="str">
        <f aca="false">IF($B100="","",MONTH($B100))</f>
        <v/>
      </c>
      <c r="D100" s="70"/>
      <c r="E100" s="70"/>
      <c r="F100" s="70"/>
      <c r="G100" s="70"/>
      <c r="H100" s="70"/>
      <c r="I100" s="70"/>
      <c r="J100" s="71"/>
      <c r="K100" s="72"/>
      <c r="L100" s="4"/>
      <c r="M100" s="4"/>
      <c r="N100" s="4"/>
      <c r="O100" s="4"/>
      <c r="P100" s="4"/>
      <c r="Q100" s="4"/>
    </row>
    <row r="101" customFormat="false" ht="18" hidden="false" customHeight="true" outlineLevel="0" collapsed="false">
      <c r="A101" s="63" t="str">
        <f aca="false">IF($B101="","","PG-"&amp;TEXT(ROW()-5,"0000"))</f>
        <v/>
      </c>
      <c r="B101" s="64"/>
      <c r="C101" s="65" t="str">
        <f aca="false">IF($B101="","",MONTH($B101))</f>
        <v/>
      </c>
      <c r="D101" s="66"/>
      <c r="E101" s="66"/>
      <c r="F101" s="66"/>
      <c r="G101" s="66"/>
      <c r="H101" s="66"/>
      <c r="I101" s="66"/>
      <c r="J101" s="67"/>
      <c r="K101" s="68"/>
      <c r="L101" s="4"/>
      <c r="M101" s="4"/>
      <c r="N101" s="4"/>
      <c r="O101" s="4"/>
      <c r="P101" s="4"/>
      <c r="Q101" s="4"/>
    </row>
    <row r="102" customFormat="false" ht="18" hidden="false" customHeight="true" outlineLevel="0" collapsed="false">
      <c r="A102" s="63" t="str">
        <f aca="false">IF($B102="","","PG-"&amp;TEXT(ROW()-5,"0000"))</f>
        <v/>
      </c>
      <c r="B102" s="69"/>
      <c r="C102" s="65" t="str">
        <f aca="false">IF($B102="","",MONTH($B102))</f>
        <v/>
      </c>
      <c r="D102" s="70"/>
      <c r="E102" s="70"/>
      <c r="F102" s="70"/>
      <c r="G102" s="70"/>
      <c r="H102" s="70"/>
      <c r="I102" s="70"/>
      <c r="J102" s="71"/>
      <c r="K102" s="72"/>
      <c r="L102" s="4"/>
      <c r="M102" s="4"/>
      <c r="N102" s="4"/>
      <c r="O102" s="4"/>
      <c r="P102" s="4"/>
      <c r="Q102" s="4"/>
    </row>
    <row r="103" customFormat="false" ht="18" hidden="false" customHeight="true" outlineLevel="0" collapsed="false">
      <c r="A103" s="63" t="str">
        <f aca="false">IF($B103="","","PG-"&amp;TEXT(ROW()-5,"0000"))</f>
        <v/>
      </c>
      <c r="B103" s="64"/>
      <c r="C103" s="65" t="str">
        <f aca="false">IF($B103="","",MONTH($B103))</f>
        <v/>
      </c>
      <c r="D103" s="66"/>
      <c r="E103" s="66"/>
      <c r="F103" s="66"/>
      <c r="G103" s="66"/>
      <c r="H103" s="66"/>
      <c r="I103" s="66"/>
      <c r="J103" s="67"/>
      <c r="K103" s="68"/>
      <c r="L103" s="4"/>
      <c r="M103" s="4"/>
      <c r="N103" s="4"/>
      <c r="O103" s="4"/>
      <c r="P103" s="4"/>
      <c r="Q103" s="4"/>
    </row>
    <row r="104" customFormat="false" ht="18" hidden="false" customHeight="true" outlineLevel="0" collapsed="false">
      <c r="A104" s="63" t="str">
        <f aca="false">IF($B104="","","PG-"&amp;TEXT(ROW()-5,"0000"))</f>
        <v/>
      </c>
      <c r="B104" s="69"/>
      <c r="C104" s="65" t="str">
        <f aca="false">IF($B104="","",MONTH($B104))</f>
        <v/>
      </c>
      <c r="D104" s="70"/>
      <c r="E104" s="70"/>
      <c r="F104" s="70"/>
      <c r="G104" s="70"/>
      <c r="H104" s="70"/>
      <c r="I104" s="70"/>
      <c r="J104" s="71"/>
      <c r="K104" s="72"/>
      <c r="L104" s="4"/>
      <c r="M104" s="4"/>
      <c r="N104" s="4"/>
      <c r="O104" s="4"/>
      <c r="P104" s="4"/>
      <c r="Q104" s="4"/>
    </row>
    <row r="105" customFormat="false" ht="18" hidden="false" customHeight="true" outlineLevel="0" collapsed="false">
      <c r="A105" s="63" t="str">
        <f aca="false">IF($B105="","","PG-"&amp;TEXT(ROW()-5,"0000"))</f>
        <v/>
      </c>
      <c r="B105" s="64"/>
      <c r="C105" s="65" t="str">
        <f aca="false">IF($B105="","",MONTH($B105))</f>
        <v/>
      </c>
      <c r="D105" s="66"/>
      <c r="E105" s="66"/>
      <c r="F105" s="66"/>
      <c r="G105" s="66"/>
      <c r="H105" s="66"/>
      <c r="I105" s="66"/>
      <c r="J105" s="67"/>
      <c r="K105" s="68"/>
      <c r="L105" s="4"/>
      <c r="M105" s="4"/>
      <c r="N105" s="4"/>
      <c r="O105" s="4"/>
      <c r="P105" s="4"/>
      <c r="Q105" s="4"/>
    </row>
    <row r="106" customFormat="false" ht="18" hidden="false" customHeight="true" outlineLevel="0" collapsed="false">
      <c r="A106" s="63" t="str">
        <f aca="false">IF($B106="","","PG-"&amp;TEXT(ROW()-5,"0000"))</f>
        <v/>
      </c>
      <c r="B106" s="69"/>
      <c r="C106" s="65" t="str">
        <f aca="false">IF($B106="","",MONTH($B106))</f>
        <v/>
      </c>
      <c r="D106" s="70"/>
      <c r="E106" s="70"/>
      <c r="F106" s="70"/>
      <c r="G106" s="70"/>
      <c r="H106" s="70"/>
      <c r="I106" s="70"/>
      <c r="J106" s="71"/>
      <c r="K106" s="72"/>
      <c r="L106" s="4"/>
      <c r="M106" s="4"/>
      <c r="N106" s="4"/>
      <c r="O106" s="4"/>
      <c r="P106" s="4"/>
      <c r="Q106" s="4"/>
    </row>
    <row r="107" customFormat="false" ht="18" hidden="false" customHeight="true" outlineLevel="0" collapsed="false">
      <c r="A107" s="63" t="str">
        <f aca="false">IF($B107="","","PG-"&amp;TEXT(ROW()-5,"0000"))</f>
        <v/>
      </c>
      <c r="B107" s="64"/>
      <c r="C107" s="65" t="str">
        <f aca="false">IF($B107="","",MONTH($B107))</f>
        <v/>
      </c>
      <c r="D107" s="66"/>
      <c r="E107" s="66"/>
      <c r="F107" s="66"/>
      <c r="G107" s="66"/>
      <c r="H107" s="66"/>
      <c r="I107" s="66"/>
      <c r="J107" s="67"/>
      <c r="K107" s="68"/>
      <c r="L107" s="4"/>
      <c r="M107" s="4"/>
      <c r="N107" s="4"/>
      <c r="O107" s="4"/>
      <c r="P107" s="4"/>
      <c r="Q107" s="4"/>
    </row>
    <row r="108" customFormat="false" ht="18" hidden="false" customHeight="true" outlineLevel="0" collapsed="false">
      <c r="A108" s="63" t="str">
        <f aca="false">IF($B108="","","PG-"&amp;TEXT(ROW()-5,"0000"))</f>
        <v/>
      </c>
      <c r="B108" s="69"/>
      <c r="C108" s="65" t="str">
        <f aca="false">IF($B108="","",MONTH($B108))</f>
        <v/>
      </c>
      <c r="D108" s="70"/>
      <c r="E108" s="70"/>
      <c r="F108" s="70"/>
      <c r="G108" s="70"/>
      <c r="H108" s="70"/>
      <c r="I108" s="70"/>
      <c r="J108" s="71"/>
      <c r="K108" s="72"/>
      <c r="L108" s="4"/>
      <c r="M108" s="4"/>
      <c r="N108" s="4"/>
      <c r="O108" s="4"/>
      <c r="P108" s="4"/>
      <c r="Q108" s="4"/>
    </row>
    <row r="109" customFormat="false" ht="18" hidden="false" customHeight="true" outlineLevel="0" collapsed="false">
      <c r="A109" s="63" t="str">
        <f aca="false">IF($B109="","","PG-"&amp;TEXT(ROW()-5,"0000"))</f>
        <v/>
      </c>
      <c r="B109" s="64"/>
      <c r="C109" s="65" t="str">
        <f aca="false">IF($B109="","",MONTH($B109))</f>
        <v/>
      </c>
      <c r="D109" s="66"/>
      <c r="E109" s="66"/>
      <c r="F109" s="66"/>
      <c r="G109" s="66"/>
      <c r="H109" s="66"/>
      <c r="I109" s="66"/>
      <c r="J109" s="67"/>
      <c r="K109" s="68"/>
      <c r="L109" s="4"/>
      <c r="M109" s="4"/>
      <c r="N109" s="4"/>
      <c r="O109" s="4"/>
      <c r="P109" s="4"/>
      <c r="Q109" s="4"/>
    </row>
    <row r="110" customFormat="false" ht="18" hidden="false" customHeight="true" outlineLevel="0" collapsed="false">
      <c r="A110" s="63" t="str">
        <f aca="false">IF($B110="","","PG-"&amp;TEXT(ROW()-5,"0000"))</f>
        <v/>
      </c>
      <c r="B110" s="69"/>
      <c r="C110" s="65" t="str">
        <f aca="false">IF($B110="","",MONTH($B110))</f>
        <v/>
      </c>
      <c r="D110" s="70"/>
      <c r="E110" s="70"/>
      <c r="F110" s="70"/>
      <c r="G110" s="70"/>
      <c r="H110" s="70"/>
      <c r="I110" s="70"/>
      <c r="J110" s="71"/>
      <c r="K110" s="72"/>
      <c r="L110" s="4"/>
      <c r="M110" s="4"/>
      <c r="N110" s="4"/>
      <c r="O110" s="4"/>
      <c r="P110" s="4"/>
      <c r="Q110" s="4"/>
    </row>
    <row r="111" customFormat="false" ht="18" hidden="false" customHeight="true" outlineLevel="0" collapsed="false">
      <c r="A111" s="63" t="str">
        <f aca="false">IF($B111="","","PG-"&amp;TEXT(ROW()-5,"0000"))</f>
        <v/>
      </c>
      <c r="B111" s="64"/>
      <c r="C111" s="65" t="str">
        <f aca="false">IF($B111="","",MONTH($B111))</f>
        <v/>
      </c>
      <c r="D111" s="66"/>
      <c r="E111" s="66"/>
      <c r="F111" s="66"/>
      <c r="G111" s="66"/>
      <c r="H111" s="66"/>
      <c r="I111" s="66"/>
      <c r="J111" s="67"/>
      <c r="K111" s="68"/>
      <c r="L111" s="4"/>
      <c r="M111" s="4"/>
      <c r="N111" s="4"/>
      <c r="O111" s="4"/>
      <c r="P111" s="4"/>
      <c r="Q111" s="4"/>
    </row>
    <row r="112" customFormat="false" ht="18" hidden="false" customHeight="true" outlineLevel="0" collapsed="false">
      <c r="A112" s="63" t="str">
        <f aca="false">IF($B112="","","PG-"&amp;TEXT(ROW()-5,"0000"))</f>
        <v/>
      </c>
      <c r="B112" s="69"/>
      <c r="C112" s="65" t="str">
        <f aca="false">IF($B112="","",MONTH($B112))</f>
        <v/>
      </c>
      <c r="D112" s="70"/>
      <c r="E112" s="70"/>
      <c r="F112" s="70"/>
      <c r="G112" s="70"/>
      <c r="H112" s="70"/>
      <c r="I112" s="70"/>
      <c r="J112" s="71"/>
      <c r="K112" s="72"/>
      <c r="L112" s="4"/>
      <c r="M112" s="4"/>
      <c r="N112" s="4"/>
      <c r="O112" s="4"/>
      <c r="P112" s="4"/>
      <c r="Q112" s="4"/>
    </row>
    <row r="113" customFormat="false" ht="18" hidden="false" customHeight="true" outlineLevel="0" collapsed="false">
      <c r="A113" s="63" t="str">
        <f aca="false">IF($B113="","","PG-"&amp;TEXT(ROW()-5,"0000"))</f>
        <v/>
      </c>
      <c r="B113" s="64"/>
      <c r="C113" s="65" t="str">
        <f aca="false">IF($B113="","",MONTH($B113))</f>
        <v/>
      </c>
      <c r="D113" s="66"/>
      <c r="E113" s="66"/>
      <c r="F113" s="66"/>
      <c r="G113" s="66"/>
      <c r="H113" s="66"/>
      <c r="I113" s="66"/>
      <c r="J113" s="67"/>
      <c r="K113" s="68"/>
      <c r="L113" s="4"/>
      <c r="M113" s="4"/>
      <c r="N113" s="4"/>
      <c r="O113" s="4"/>
      <c r="P113" s="4"/>
      <c r="Q113" s="4"/>
    </row>
    <row r="114" customFormat="false" ht="18" hidden="false" customHeight="true" outlineLevel="0" collapsed="false">
      <c r="A114" s="63" t="str">
        <f aca="false">IF($B114="","","PG-"&amp;TEXT(ROW()-5,"0000"))</f>
        <v/>
      </c>
      <c r="B114" s="69"/>
      <c r="C114" s="65" t="str">
        <f aca="false">IF($B114="","",MONTH($B114))</f>
        <v/>
      </c>
      <c r="D114" s="70"/>
      <c r="E114" s="70"/>
      <c r="F114" s="70"/>
      <c r="G114" s="70"/>
      <c r="H114" s="70"/>
      <c r="I114" s="70"/>
      <c r="J114" s="71"/>
      <c r="K114" s="72"/>
      <c r="L114" s="4"/>
      <c r="M114" s="4"/>
      <c r="N114" s="4"/>
      <c r="O114" s="4"/>
      <c r="P114" s="4"/>
      <c r="Q114" s="4"/>
    </row>
    <row r="115" customFormat="false" ht="18" hidden="false" customHeight="true" outlineLevel="0" collapsed="false">
      <c r="A115" s="63" t="str">
        <f aca="false">IF($B115="","","PG-"&amp;TEXT(ROW()-5,"0000"))</f>
        <v/>
      </c>
      <c r="B115" s="64"/>
      <c r="C115" s="65" t="str">
        <f aca="false">IF($B115="","",MONTH($B115))</f>
        <v/>
      </c>
      <c r="D115" s="66"/>
      <c r="E115" s="66"/>
      <c r="F115" s="66"/>
      <c r="G115" s="66"/>
      <c r="H115" s="66"/>
      <c r="I115" s="66"/>
      <c r="J115" s="67"/>
      <c r="K115" s="68"/>
      <c r="L115" s="4"/>
      <c r="M115" s="4"/>
      <c r="N115" s="4"/>
      <c r="O115" s="4"/>
      <c r="P115" s="4"/>
      <c r="Q115" s="4"/>
    </row>
    <row r="116" customFormat="false" ht="18" hidden="false" customHeight="true" outlineLevel="0" collapsed="false">
      <c r="A116" s="63" t="str">
        <f aca="false">IF($B116="","","PG-"&amp;TEXT(ROW()-5,"0000"))</f>
        <v/>
      </c>
      <c r="B116" s="69"/>
      <c r="C116" s="65" t="str">
        <f aca="false">IF($B116="","",MONTH($B116))</f>
        <v/>
      </c>
      <c r="D116" s="70"/>
      <c r="E116" s="70"/>
      <c r="F116" s="70"/>
      <c r="G116" s="70"/>
      <c r="H116" s="70"/>
      <c r="I116" s="70"/>
      <c r="J116" s="71"/>
      <c r="K116" s="72"/>
      <c r="L116" s="4"/>
      <c r="M116" s="4"/>
      <c r="N116" s="4"/>
      <c r="O116" s="4"/>
      <c r="P116" s="4"/>
      <c r="Q116" s="4"/>
    </row>
    <row r="117" customFormat="false" ht="18" hidden="false" customHeight="true" outlineLevel="0" collapsed="false">
      <c r="A117" s="63" t="str">
        <f aca="false">IF($B117="","","PG-"&amp;TEXT(ROW()-5,"0000"))</f>
        <v/>
      </c>
      <c r="B117" s="64"/>
      <c r="C117" s="65" t="str">
        <f aca="false">IF($B117="","",MONTH($B117))</f>
        <v/>
      </c>
      <c r="D117" s="66"/>
      <c r="E117" s="66"/>
      <c r="F117" s="66"/>
      <c r="G117" s="66"/>
      <c r="H117" s="66"/>
      <c r="I117" s="66"/>
      <c r="J117" s="67"/>
      <c r="K117" s="68"/>
      <c r="L117" s="4"/>
      <c r="M117" s="4"/>
      <c r="N117" s="4"/>
      <c r="O117" s="4"/>
      <c r="P117" s="4"/>
      <c r="Q117" s="4"/>
    </row>
    <row r="118" customFormat="false" ht="18" hidden="false" customHeight="true" outlineLevel="0" collapsed="false">
      <c r="A118" s="63" t="str">
        <f aca="false">IF($B118="","","PG-"&amp;TEXT(ROW()-5,"0000"))</f>
        <v/>
      </c>
      <c r="B118" s="69"/>
      <c r="C118" s="65" t="str">
        <f aca="false">IF($B118="","",MONTH($B118))</f>
        <v/>
      </c>
      <c r="D118" s="70"/>
      <c r="E118" s="70"/>
      <c r="F118" s="70"/>
      <c r="G118" s="70"/>
      <c r="H118" s="70"/>
      <c r="I118" s="70"/>
      <c r="J118" s="71"/>
      <c r="K118" s="72"/>
      <c r="L118" s="4"/>
      <c r="M118" s="4"/>
      <c r="N118" s="4"/>
      <c r="O118" s="4"/>
      <c r="P118" s="4"/>
      <c r="Q118" s="4"/>
    </row>
    <row r="119" customFormat="false" ht="18" hidden="false" customHeight="true" outlineLevel="0" collapsed="false">
      <c r="A119" s="63" t="str">
        <f aca="false">IF($B119="","","PG-"&amp;TEXT(ROW()-5,"0000"))</f>
        <v/>
      </c>
      <c r="B119" s="64"/>
      <c r="C119" s="65" t="str">
        <f aca="false">IF($B119="","",MONTH($B119))</f>
        <v/>
      </c>
      <c r="D119" s="66"/>
      <c r="E119" s="66"/>
      <c r="F119" s="66"/>
      <c r="G119" s="66"/>
      <c r="H119" s="66"/>
      <c r="I119" s="66"/>
      <c r="J119" s="67"/>
      <c r="K119" s="68"/>
      <c r="L119" s="4"/>
      <c r="M119" s="4"/>
      <c r="N119" s="4"/>
      <c r="O119" s="4"/>
      <c r="P119" s="4"/>
      <c r="Q119" s="4"/>
    </row>
    <row r="120" customFormat="false" ht="18" hidden="false" customHeight="true" outlineLevel="0" collapsed="false">
      <c r="A120" s="63" t="str">
        <f aca="false">IF($B120="","","PG-"&amp;TEXT(ROW()-5,"0000"))</f>
        <v/>
      </c>
      <c r="B120" s="69"/>
      <c r="C120" s="65" t="str">
        <f aca="false">IF($B120="","",MONTH($B120))</f>
        <v/>
      </c>
      <c r="D120" s="70"/>
      <c r="E120" s="70"/>
      <c r="F120" s="70"/>
      <c r="G120" s="70"/>
      <c r="H120" s="70"/>
      <c r="I120" s="70"/>
      <c r="J120" s="71"/>
      <c r="K120" s="72"/>
      <c r="L120" s="4"/>
      <c r="M120" s="4"/>
      <c r="N120" s="4"/>
      <c r="O120" s="4"/>
      <c r="P120" s="4"/>
      <c r="Q120" s="4"/>
    </row>
    <row r="121" customFormat="false" ht="18" hidden="false" customHeight="true" outlineLevel="0" collapsed="false">
      <c r="A121" s="63" t="str">
        <f aca="false">IF($B121="","","PG-"&amp;TEXT(ROW()-5,"0000"))</f>
        <v/>
      </c>
      <c r="B121" s="64"/>
      <c r="C121" s="65" t="str">
        <f aca="false">IF($B121="","",MONTH($B121))</f>
        <v/>
      </c>
      <c r="D121" s="66"/>
      <c r="E121" s="66"/>
      <c r="F121" s="66"/>
      <c r="G121" s="66"/>
      <c r="H121" s="66"/>
      <c r="I121" s="66"/>
      <c r="J121" s="67"/>
      <c r="K121" s="68"/>
      <c r="L121" s="4"/>
      <c r="M121" s="4"/>
      <c r="N121" s="4"/>
      <c r="O121" s="4"/>
      <c r="P121" s="4"/>
      <c r="Q121" s="4"/>
    </row>
    <row r="122" customFormat="false" ht="18" hidden="false" customHeight="true" outlineLevel="0" collapsed="false">
      <c r="A122" s="63" t="str">
        <f aca="false">IF($B122="","","PG-"&amp;TEXT(ROW()-5,"0000"))</f>
        <v/>
      </c>
      <c r="B122" s="69"/>
      <c r="C122" s="65" t="str">
        <f aca="false">IF($B122="","",MONTH($B122))</f>
        <v/>
      </c>
      <c r="D122" s="70"/>
      <c r="E122" s="70"/>
      <c r="F122" s="70"/>
      <c r="G122" s="70"/>
      <c r="H122" s="70"/>
      <c r="I122" s="70"/>
      <c r="J122" s="71"/>
      <c r="K122" s="72"/>
      <c r="L122" s="4"/>
      <c r="M122" s="4"/>
      <c r="N122" s="4"/>
      <c r="O122" s="4"/>
      <c r="P122" s="4"/>
      <c r="Q122" s="4"/>
    </row>
    <row r="123" customFormat="false" ht="18" hidden="false" customHeight="true" outlineLevel="0" collapsed="false">
      <c r="A123" s="63" t="str">
        <f aca="false">IF($B123="","","PG-"&amp;TEXT(ROW()-5,"0000"))</f>
        <v/>
      </c>
      <c r="B123" s="64"/>
      <c r="C123" s="65" t="str">
        <f aca="false">IF($B123="","",MONTH($B123))</f>
        <v/>
      </c>
      <c r="D123" s="66"/>
      <c r="E123" s="66"/>
      <c r="F123" s="66"/>
      <c r="G123" s="66"/>
      <c r="H123" s="66"/>
      <c r="I123" s="66"/>
      <c r="J123" s="67"/>
      <c r="K123" s="68"/>
      <c r="L123" s="4"/>
      <c r="M123" s="4"/>
      <c r="N123" s="4"/>
      <c r="O123" s="4"/>
      <c r="P123" s="4"/>
      <c r="Q123" s="4"/>
    </row>
    <row r="124" customFormat="false" ht="18" hidden="false" customHeight="true" outlineLevel="0" collapsed="false">
      <c r="A124" s="63" t="str">
        <f aca="false">IF($B124="","","PG-"&amp;TEXT(ROW()-5,"0000"))</f>
        <v/>
      </c>
      <c r="B124" s="69"/>
      <c r="C124" s="65" t="str">
        <f aca="false">IF($B124="","",MONTH($B124))</f>
        <v/>
      </c>
      <c r="D124" s="70"/>
      <c r="E124" s="70"/>
      <c r="F124" s="70"/>
      <c r="G124" s="70"/>
      <c r="H124" s="70"/>
      <c r="I124" s="70"/>
      <c r="J124" s="71"/>
      <c r="K124" s="72"/>
      <c r="L124" s="4"/>
      <c r="M124" s="4"/>
      <c r="N124" s="4"/>
      <c r="O124" s="4"/>
      <c r="P124" s="4"/>
      <c r="Q124" s="4"/>
    </row>
    <row r="125" customFormat="false" ht="18" hidden="false" customHeight="true" outlineLevel="0" collapsed="false">
      <c r="A125" s="63" t="str">
        <f aca="false">IF($B125="","","PG-"&amp;TEXT(ROW()-5,"0000"))</f>
        <v/>
      </c>
      <c r="B125" s="64"/>
      <c r="C125" s="65" t="str">
        <f aca="false">IF($B125="","",MONTH($B125))</f>
        <v/>
      </c>
      <c r="D125" s="66"/>
      <c r="E125" s="66"/>
      <c r="F125" s="66"/>
      <c r="G125" s="66"/>
      <c r="H125" s="66"/>
      <c r="I125" s="66"/>
      <c r="J125" s="67"/>
      <c r="K125" s="68"/>
      <c r="L125" s="4"/>
      <c r="M125" s="4"/>
      <c r="N125" s="4"/>
      <c r="O125" s="4"/>
      <c r="P125" s="4"/>
      <c r="Q125" s="4"/>
    </row>
    <row r="126" customFormat="false" ht="18" hidden="false" customHeight="true" outlineLevel="0" collapsed="false">
      <c r="A126" s="63" t="str">
        <f aca="false">IF($B126="","","PG-"&amp;TEXT(ROW()-5,"0000"))</f>
        <v/>
      </c>
      <c r="B126" s="69"/>
      <c r="C126" s="65" t="str">
        <f aca="false">IF($B126="","",MONTH($B126))</f>
        <v/>
      </c>
      <c r="D126" s="70"/>
      <c r="E126" s="70"/>
      <c r="F126" s="70"/>
      <c r="G126" s="70"/>
      <c r="H126" s="70"/>
      <c r="I126" s="70"/>
      <c r="J126" s="71"/>
      <c r="K126" s="72"/>
      <c r="L126" s="4"/>
      <c r="M126" s="4"/>
      <c r="N126" s="4"/>
      <c r="O126" s="4"/>
      <c r="P126" s="4"/>
      <c r="Q126" s="4"/>
    </row>
    <row r="127" customFormat="false" ht="18" hidden="false" customHeight="true" outlineLevel="0" collapsed="false">
      <c r="A127" s="63" t="str">
        <f aca="false">IF($B127="","","PG-"&amp;TEXT(ROW()-5,"0000"))</f>
        <v/>
      </c>
      <c r="B127" s="64"/>
      <c r="C127" s="65" t="str">
        <f aca="false">IF($B127="","",MONTH($B127))</f>
        <v/>
      </c>
      <c r="D127" s="66"/>
      <c r="E127" s="66"/>
      <c r="F127" s="66"/>
      <c r="G127" s="66"/>
      <c r="H127" s="66"/>
      <c r="I127" s="66"/>
      <c r="J127" s="67"/>
      <c r="K127" s="68"/>
      <c r="L127" s="4"/>
      <c r="M127" s="4"/>
      <c r="N127" s="4"/>
      <c r="O127" s="4"/>
      <c r="P127" s="4"/>
      <c r="Q127" s="4"/>
    </row>
    <row r="128" customFormat="false" ht="18" hidden="false" customHeight="true" outlineLevel="0" collapsed="false">
      <c r="A128" s="63" t="str">
        <f aca="false">IF($B128="","","PG-"&amp;TEXT(ROW()-5,"0000"))</f>
        <v/>
      </c>
      <c r="B128" s="69"/>
      <c r="C128" s="65" t="str">
        <f aca="false">IF($B128="","",MONTH($B128))</f>
        <v/>
      </c>
      <c r="D128" s="70"/>
      <c r="E128" s="70"/>
      <c r="F128" s="70"/>
      <c r="G128" s="70"/>
      <c r="H128" s="70"/>
      <c r="I128" s="70"/>
      <c r="J128" s="71"/>
      <c r="K128" s="72"/>
      <c r="L128" s="4"/>
      <c r="M128" s="4"/>
      <c r="N128" s="4"/>
      <c r="O128" s="4"/>
      <c r="P128" s="4"/>
      <c r="Q128" s="4"/>
    </row>
    <row r="129" customFormat="false" ht="18" hidden="false" customHeight="true" outlineLevel="0" collapsed="false">
      <c r="A129" s="63" t="str">
        <f aca="false">IF($B129="","","PG-"&amp;TEXT(ROW()-5,"0000"))</f>
        <v/>
      </c>
      <c r="B129" s="64"/>
      <c r="C129" s="65" t="str">
        <f aca="false">IF($B129="","",MONTH($B129))</f>
        <v/>
      </c>
      <c r="D129" s="66"/>
      <c r="E129" s="66"/>
      <c r="F129" s="66"/>
      <c r="G129" s="66"/>
      <c r="H129" s="66"/>
      <c r="I129" s="66"/>
      <c r="J129" s="67"/>
      <c r="K129" s="68"/>
      <c r="L129" s="4"/>
      <c r="M129" s="4"/>
      <c r="N129" s="4"/>
      <c r="O129" s="4"/>
      <c r="P129" s="4"/>
      <c r="Q129" s="4"/>
    </row>
    <row r="130" customFormat="false" ht="18" hidden="false" customHeight="true" outlineLevel="0" collapsed="false">
      <c r="A130" s="63" t="str">
        <f aca="false">IF($B130="","","PG-"&amp;TEXT(ROW()-5,"0000"))</f>
        <v/>
      </c>
      <c r="B130" s="69"/>
      <c r="C130" s="65" t="str">
        <f aca="false">IF($B130="","",MONTH($B130))</f>
        <v/>
      </c>
      <c r="D130" s="70"/>
      <c r="E130" s="70"/>
      <c r="F130" s="70"/>
      <c r="G130" s="70"/>
      <c r="H130" s="70"/>
      <c r="I130" s="70"/>
      <c r="J130" s="71"/>
      <c r="K130" s="72"/>
      <c r="L130" s="4"/>
      <c r="M130" s="4"/>
      <c r="N130" s="4"/>
      <c r="O130" s="4"/>
      <c r="P130" s="4"/>
      <c r="Q130" s="4"/>
    </row>
    <row r="131" customFormat="false" ht="18" hidden="false" customHeight="true" outlineLevel="0" collapsed="false">
      <c r="A131" s="63" t="str">
        <f aca="false">IF($B131="","","PG-"&amp;TEXT(ROW()-5,"0000"))</f>
        <v/>
      </c>
      <c r="B131" s="64"/>
      <c r="C131" s="65" t="str">
        <f aca="false">IF($B131="","",MONTH($B131))</f>
        <v/>
      </c>
      <c r="D131" s="66"/>
      <c r="E131" s="66"/>
      <c r="F131" s="66"/>
      <c r="G131" s="66"/>
      <c r="H131" s="66"/>
      <c r="I131" s="66"/>
      <c r="J131" s="67"/>
      <c r="K131" s="68"/>
      <c r="L131" s="4"/>
      <c r="M131" s="4"/>
      <c r="N131" s="4"/>
      <c r="O131" s="4"/>
      <c r="P131" s="4"/>
      <c r="Q131" s="4"/>
    </row>
    <row r="132" customFormat="false" ht="18" hidden="false" customHeight="true" outlineLevel="0" collapsed="false">
      <c r="A132" s="63" t="str">
        <f aca="false">IF($B132="","","PG-"&amp;TEXT(ROW()-5,"0000"))</f>
        <v/>
      </c>
      <c r="B132" s="69"/>
      <c r="C132" s="65" t="str">
        <f aca="false">IF($B132="","",MONTH($B132))</f>
        <v/>
      </c>
      <c r="D132" s="70"/>
      <c r="E132" s="70"/>
      <c r="F132" s="70"/>
      <c r="G132" s="70"/>
      <c r="H132" s="70"/>
      <c r="I132" s="70"/>
      <c r="J132" s="71"/>
      <c r="K132" s="72"/>
      <c r="L132" s="4"/>
      <c r="M132" s="4"/>
      <c r="N132" s="4"/>
      <c r="O132" s="4"/>
      <c r="P132" s="4"/>
      <c r="Q132" s="4"/>
    </row>
    <row r="133" customFormat="false" ht="18" hidden="false" customHeight="true" outlineLevel="0" collapsed="false">
      <c r="A133" s="63" t="str">
        <f aca="false">IF($B133="","","PG-"&amp;TEXT(ROW()-5,"0000"))</f>
        <v/>
      </c>
      <c r="B133" s="64"/>
      <c r="C133" s="65" t="str">
        <f aca="false">IF($B133="","",MONTH($B133))</f>
        <v/>
      </c>
      <c r="D133" s="66"/>
      <c r="E133" s="66"/>
      <c r="F133" s="66"/>
      <c r="G133" s="66"/>
      <c r="H133" s="66"/>
      <c r="I133" s="66"/>
      <c r="J133" s="67"/>
      <c r="K133" s="68"/>
      <c r="L133" s="4"/>
      <c r="M133" s="4"/>
      <c r="N133" s="4"/>
      <c r="O133" s="4"/>
      <c r="P133" s="4"/>
      <c r="Q133" s="4"/>
    </row>
    <row r="134" customFormat="false" ht="18" hidden="false" customHeight="true" outlineLevel="0" collapsed="false">
      <c r="A134" s="63" t="str">
        <f aca="false">IF($B134="","","PG-"&amp;TEXT(ROW()-5,"0000"))</f>
        <v/>
      </c>
      <c r="B134" s="69"/>
      <c r="C134" s="65" t="str">
        <f aca="false">IF($B134="","",MONTH($B134))</f>
        <v/>
      </c>
      <c r="D134" s="70"/>
      <c r="E134" s="70"/>
      <c r="F134" s="70"/>
      <c r="G134" s="70"/>
      <c r="H134" s="70"/>
      <c r="I134" s="70"/>
      <c r="J134" s="71"/>
      <c r="K134" s="72"/>
      <c r="L134" s="4"/>
      <c r="M134" s="4"/>
      <c r="N134" s="4"/>
      <c r="O134" s="4"/>
      <c r="P134" s="4"/>
      <c r="Q134" s="4"/>
    </row>
    <row r="135" customFormat="false" ht="18" hidden="false" customHeight="true" outlineLevel="0" collapsed="false">
      <c r="A135" s="63" t="str">
        <f aca="false">IF($B135="","","PG-"&amp;TEXT(ROW()-5,"0000"))</f>
        <v/>
      </c>
      <c r="B135" s="64"/>
      <c r="C135" s="65" t="str">
        <f aca="false">IF($B135="","",MONTH($B135))</f>
        <v/>
      </c>
      <c r="D135" s="66"/>
      <c r="E135" s="66"/>
      <c r="F135" s="66"/>
      <c r="G135" s="66"/>
      <c r="H135" s="66"/>
      <c r="I135" s="66"/>
      <c r="J135" s="67"/>
      <c r="K135" s="68"/>
      <c r="L135" s="4"/>
      <c r="M135" s="4"/>
      <c r="N135" s="4"/>
      <c r="O135" s="4"/>
      <c r="P135" s="4"/>
      <c r="Q135" s="4"/>
    </row>
    <row r="136" customFormat="false" ht="18" hidden="false" customHeight="true" outlineLevel="0" collapsed="false">
      <c r="A136" s="63" t="str">
        <f aca="false">IF($B136="","","PG-"&amp;TEXT(ROW()-5,"0000"))</f>
        <v/>
      </c>
      <c r="B136" s="69"/>
      <c r="C136" s="65" t="str">
        <f aca="false">IF($B136="","",MONTH($B136))</f>
        <v/>
      </c>
      <c r="D136" s="70"/>
      <c r="E136" s="70"/>
      <c r="F136" s="70"/>
      <c r="G136" s="70"/>
      <c r="H136" s="70"/>
      <c r="I136" s="70"/>
      <c r="J136" s="71"/>
      <c r="K136" s="72"/>
      <c r="L136" s="4"/>
      <c r="M136" s="4"/>
      <c r="N136" s="4"/>
      <c r="O136" s="4"/>
      <c r="P136" s="4"/>
      <c r="Q136" s="4"/>
    </row>
    <row r="137" customFormat="false" ht="18" hidden="false" customHeight="true" outlineLevel="0" collapsed="false">
      <c r="A137" s="63" t="str">
        <f aca="false">IF($B137="","","PG-"&amp;TEXT(ROW()-5,"0000"))</f>
        <v/>
      </c>
      <c r="B137" s="64"/>
      <c r="C137" s="65" t="str">
        <f aca="false">IF($B137="","",MONTH($B137))</f>
        <v/>
      </c>
      <c r="D137" s="66"/>
      <c r="E137" s="66"/>
      <c r="F137" s="66"/>
      <c r="G137" s="66"/>
      <c r="H137" s="66"/>
      <c r="I137" s="66"/>
      <c r="J137" s="67"/>
      <c r="K137" s="68"/>
      <c r="L137" s="4"/>
      <c r="M137" s="4"/>
      <c r="N137" s="4"/>
      <c r="O137" s="4"/>
      <c r="P137" s="4"/>
      <c r="Q137" s="4"/>
    </row>
    <row r="138" customFormat="false" ht="18" hidden="false" customHeight="true" outlineLevel="0" collapsed="false">
      <c r="A138" s="63" t="str">
        <f aca="false">IF($B138="","","PG-"&amp;TEXT(ROW()-5,"0000"))</f>
        <v/>
      </c>
      <c r="B138" s="69"/>
      <c r="C138" s="65" t="str">
        <f aca="false">IF($B138="","",MONTH($B138))</f>
        <v/>
      </c>
      <c r="D138" s="70"/>
      <c r="E138" s="70"/>
      <c r="F138" s="70"/>
      <c r="G138" s="70"/>
      <c r="H138" s="70"/>
      <c r="I138" s="70"/>
      <c r="J138" s="71"/>
      <c r="K138" s="72"/>
      <c r="L138" s="4"/>
      <c r="M138" s="4"/>
      <c r="N138" s="4"/>
      <c r="O138" s="4"/>
      <c r="P138" s="4"/>
      <c r="Q138" s="4"/>
    </row>
    <row r="139" customFormat="false" ht="18" hidden="false" customHeight="true" outlineLevel="0" collapsed="false">
      <c r="A139" s="63" t="str">
        <f aca="false">IF($B139="","","PG-"&amp;TEXT(ROW()-5,"0000"))</f>
        <v/>
      </c>
      <c r="B139" s="64"/>
      <c r="C139" s="65" t="str">
        <f aca="false">IF($B139="","",MONTH($B139))</f>
        <v/>
      </c>
      <c r="D139" s="66"/>
      <c r="E139" s="66"/>
      <c r="F139" s="66"/>
      <c r="G139" s="66"/>
      <c r="H139" s="66"/>
      <c r="I139" s="66"/>
      <c r="J139" s="67"/>
      <c r="K139" s="68"/>
      <c r="L139" s="4"/>
      <c r="M139" s="4"/>
      <c r="N139" s="4"/>
      <c r="O139" s="4"/>
      <c r="P139" s="4"/>
      <c r="Q139" s="4"/>
    </row>
    <row r="140" customFormat="false" ht="18" hidden="false" customHeight="true" outlineLevel="0" collapsed="false">
      <c r="A140" s="63" t="str">
        <f aca="false">IF($B140="","","PG-"&amp;TEXT(ROW()-5,"0000"))</f>
        <v/>
      </c>
      <c r="B140" s="69"/>
      <c r="C140" s="65" t="str">
        <f aca="false">IF($B140="","",MONTH($B140))</f>
        <v/>
      </c>
      <c r="D140" s="70"/>
      <c r="E140" s="70"/>
      <c r="F140" s="70"/>
      <c r="G140" s="70"/>
      <c r="H140" s="70"/>
      <c r="I140" s="70"/>
      <c r="J140" s="71"/>
      <c r="K140" s="72"/>
      <c r="L140" s="4"/>
      <c r="M140" s="4"/>
      <c r="N140" s="4"/>
      <c r="O140" s="4"/>
      <c r="P140" s="4"/>
      <c r="Q140" s="4"/>
    </row>
    <row r="141" customFormat="false" ht="18" hidden="false" customHeight="true" outlineLevel="0" collapsed="false">
      <c r="A141" s="63" t="str">
        <f aca="false">IF($B141="","","PG-"&amp;TEXT(ROW()-5,"0000"))</f>
        <v/>
      </c>
      <c r="B141" s="64"/>
      <c r="C141" s="65" t="str">
        <f aca="false">IF($B141="","",MONTH($B141))</f>
        <v/>
      </c>
      <c r="D141" s="66"/>
      <c r="E141" s="66"/>
      <c r="F141" s="66"/>
      <c r="G141" s="66"/>
      <c r="H141" s="66"/>
      <c r="I141" s="66"/>
      <c r="J141" s="67"/>
      <c r="K141" s="68"/>
      <c r="L141" s="4"/>
      <c r="M141" s="4"/>
      <c r="N141" s="4"/>
      <c r="O141" s="4"/>
      <c r="P141" s="4"/>
      <c r="Q141" s="4"/>
    </row>
    <row r="142" customFormat="false" ht="18" hidden="false" customHeight="true" outlineLevel="0" collapsed="false">
      <c r="A142" s="63" t="str">
        <f aca="false">IF($B142="","","PG-"&amp;TEXT(ROW()-5,"0000"))</f>
        <v/>
      </c>
      <c r="B142" s="69"/>
      <c r="C142" s="65" t="str">
        <f aca="false">IF($B142="","",MONTH($B142))</f>
        <v/>
      </c>
      <c r="D142" s="70"/>
      <c r="E142" s="70"/>
      <c r="F142" s="70"/>
      <c r="G142" s="70"/>
      <c r="H142" s="70"/>
      <c r="I142" s="70"/>
      <c r="J142" s="71"/>
      <c r="K142" s="72"/>
      <c r="L142" s="4"/>
      <c r="M142" s="4"/>
      <c r="N142" s="4"/>
      <c r="O142" s="4"/>
      <c r="P142" s="4"/>
      <c r="Q142" s="4"/>
    </row>
    <row r="143" customFormat="false" ht="18" hidden="false" customHeight="true" outlineLevel="0" collapsed="false">
      <c r="A143" s="63" t="str">
        <f aca="false">IF($B143="","","PG-"&amp;TEXT(ROW()-5,"0000"))</f>
        <v/>
      </c>
      <c r="B143" s="64"/>
      <c r="C143" s="65" t="str">
        <f aca="false">IF($B143="","",MONTH($B143))</f>
        <v/>
      </c>
      <c r="D143" s="66"/>
      <c r="E143" s="66"/>
      <c r="F143" s="66"/>
      <c r="G143" s="66"/>
      <c r="H143" s="66"/>
      <c r="I143" s="66"/>
      <c r="J143" s="67"/>
      <c r="K143" s="68"/>
      <c r="L143" s="4"/>
      <c r="M143" s="4"/>
      <c r="N143" s="4"/>
      <c r="O143" s="4"/>
      <c r="P143" s="4"/>
      <c r="Q143" s="4"/>
    </row>
    <row r="144" customFormat="false" ht="18" hidden="false" customHeight="true" outlineLevel="0" collapsed="false">
      <c r="A144" s="63" t="str">
        <f aca="false">IF($B144="","","PG-"&amp;TEXT(ROW()-5,"0000"))</f>
        <v/>
      </c>
      <c r="B144" s="69"/>
      <c r="C144" s="65" t="str">
        <f aca="false">IF($B144="","",MONTH($B144))</f>
        <v/>
      </c>
      <c r="D144" s="70"/>
      <c r="E144" s="70"/>
      <c r="F144" s="70"/>
      <c r="G144" s="70"/>
      <c r="H144" s="70"/>
      <c r="I144" s="70"/>
      <c r="J144" s="71"/>
      <c r="K144" s="72"/>
      <c r="L144" s="4"/>
      <c r="M144" s="4"/>
      <c r="N144" s="4"/>
      <c r="O144" s="4"/>
      <c r="P144" s="4"/>
      <c r="Q144" s="4"/>
    </row>
    <row r="145" customFormat="false" ht="18" hidden="false" customHeight="true" outlineLevel="0" collapsed="false">
      <c r="A145" s="63" t="str">
        <f aca="false">IF($B145="","","PG-"&amp;TEXT(ROW()-5,"0000"))</f>
        <v/>
      </c>
      <c r="B145" s="64"/>
      <c r="C145" s="65" t="str">
        <f aca="false">IF($B145="","",MONTH($B145))</f>
        <v/>
      </c>
      <c r="D145" s="66"/>
      <c r="E145" s="66"/>
      <c r="F145" s="66"/>
      <c r="G145" s="66"/>
      <c r="H145" s="66"/>
      <c r="I145" s="66"/>
      <c r="J145" s="67"/>
      <c r="K145" s="68"/>
      <c r="L145" s="4"/>
      <c r="M145" s="4"/>
      <c r="N145" s="4"/>
      <c r="O145" s="4"/>
      <c r="P145" s="4"/>
      <c r="Q145" s="4"/>
    </row>
    <row r="146" customFormat="false" ht="18" hidden="false" customHeight="true" outlineLevel="0" collapsed="false">
      <c r="A146" s="63" t="str">
        <f aca="false">IF($B146="","","PG-"&amp;TEXT(ROW()-5,"0000"))</f>
        <v/>
      </c>
      <c r="B146" s="69"/>
      <c r="C146" s="65" t="str">
        <f aca="false">IF($B146="","",MONTH($B146))</f>
        <v/>
      </c>
      <c r="D146" s="70"/>
      <c r="E146" s="70"/>
      <c r="F146" s="70"/>
      <c r="G146" s="70"/>
      <c r="H146" s="70"/>
      <c r="I146" s="70"/>
      <c r="J146" s="71"/>
      <c r="K146" s="72"/>
      <c r="L146" s="4"/>
      <c r="M146" s="4"/>
      <c r="N146" s="4"/>
      <c r="O146" s="4"/>
      <c r="P146" s="4"/>
      <c r="Q146" s="4"/>
    </row>
    <row r="147" customFormat="false" ht="18" hidden="false" customHeight="true" outlineLevel="0" collapsed="false">
      <c r="A147" s="63" t="str">
        <f aca="false">IF($B147="","","PG-"&amp;TEXT(ROW()-5,"0000"))</f>
        <v/>
      </c>
      <c r="B147" s="64"/>
      <c r="C147" s="65" t="str">
        <f aca="false">IF($B147="","",MONTH($B147))</f>
        <v/>
      </c>
      <c r="D147" s="66"/>
      <c r="E147" s="66"/>
      <c r="F147" s="66"/>
      <c r="G147" s="66"/>
      <c r="H147" s="66"/>
      <c r="I147" s="66"/>
      <c r="J147" s="67"/>
      <c r="K147" s="68"/>
      <c r="L147" s="4"/>
      <c r="M147" s="4"/>
      <c r="N147" s="4"/>
      <c r="O147" s="4"/>
      <c r="P147" s="4"/>
      <c r="Q147" s="4"/>
    </row>
    <row r="148" customFormat="false" ht="18" hidden="false" customHeight="true" outlineLevel="0" collapsed="false">
      <c r="A148" s="63" t="str">
        <f aca="false">IF($B148="","","PG-"&amp;TEXT(ROW()-5,"0000"))</f>
        <v/>
      </c>
      <c r="B148" s="69"/>
      <c r="C148" s="65" t="str">
        <f aca="false">IF($B148="","",MONTH($B148))</f>
        <v/>
      </c>
      <c r="D148" s="70"/>
      <c r="E148" s="70"/>
      <c r="F148" s="70"/>
      <c r="G148" s="70"/>
      <c r="H148" s="70"/>
      <c r="I148" s="70"/>
      <c r="J148" s="71"/>
      <c r="K148" s="72"/>
      <c r="L148" s="4"/>
      <c r="M148" s="4"/>
      <c r="N148" s="4"/>
      <c r="O148" s="4"/>
      <c r="P148" s="4"/>
      <c r="Q148" s="4"/>
    </row>
    <row r="149" customFormat="false" ht="18" hidden="false" customHeight="true" outlineLevel="0" collapsed="false">
      <c r="A149" s="63" t="str">
        <f aca="false">IF($B149="","","PG-"&amp;TEXT(ROW()-5,"0000"))</f>
        <v/>
      </c>
      <c r="B149" s="64"/>
      <c r="C149" s="65" t="str">
        <f aca="false">IF($B149="","",MONTH($B149))</f>
        <v/>
      </c>
      <c r="D149" s="66"/>
      <c r="E149" s="66"/>
      <c r="F149" s="66"/>
      <c r="G149" s="66"/>
      <c r="H149" s="66"/>
      <c r="I149" s="66"/>
      <c r="J149" s="67"/>
      <c r="K149" s="68"/>
      <c r="L149" s="4"/>
      <c r="M149" s="4"/>
      <c r="N149" s="4"/>
      <c r="O149" s="4"/>
      <c r="P149" s="4"/>
      <c r="Q149" s="4"/>
    </row>
    <row r="150" customFormat="false" ht="18" hidden="false" customHeight="true" outlineLevel="0" collapsed="false">
      <c r="A150" s="63" t="str">
        <f aca="false">IF($B150="","","PG-"&amp;TEXT(ROW()-5,"0000"))</f>
        <v/>
      </c>
      <c r="B150" s="69"/>
      <c r="C150" s="65" t="str">
        <f aca="false">IF($B150="","",MONTH($B150))</f>
        <v/>
      </c>
      <c r="D150" s="70"/>
      <c r="E150" s="70"/>
      <c r="F150" s="70"/>
      <c r="G150" s="70"/>
      <c r="H150" s="70"/>
      <c r="I150" s="70"/>
      <c r="J150" s="71"/>
      <c r="K150" s="72"/>
      <c r="L150" s="4"/>
      <c r="M150" s="4"/>
      <c r="N150" s="4"/>
      <c r="O150" s="4"/>
      <c r="P150" s="4"/>
      <c r="Q150" s="4"/>
    </row>
    <row r="151" customFormat="false" ht="18" hidden="false" customHeight="true" outlineLevel="0" collapsed="false">
      <c r="A151" s="63" t="str">
        <f aca="false">IF($B151="","","PG-"&amp;TEXT(ROW()-5,"0000"))</f>
        <v/>
      </c>
      <c r="B151" s="64"/>
      <c r="C151" s="65" t="str">
        <f aca="false">IF($B151="","",MONTH($B151))</f>
        <v/>
      </c>
      <c r="D151" s="66"/>
      <c r="E151" s="66"/>
      <c r="F151" s="66"/>
      <c r="G151" s="66"/>
      <c r="H151" s="66"/>
      <c r="I151" s="66"/>
      <c r="J151" s="67"/>
      <c r="K151" s="68"/>
      <c r="L151" s="4"/>
      <c r="M151" s="4"/>
      <c r="N151" s="4"/>
      <c r="O151" s="4"/>
      <c r="P151" s="4"/>
      <c r="Q151" s="4"/>
    </row>
    <row r="152" customFormat="false" ht="18" hidden="false" customHeight="true" outlineLevel="0" collapsed="false">
      <c r="A152" s="63" t="str">
        <f aca="false">IF($B152="","","PG-"&amp;TEXT(ROW()-5,"0000"))</f>
        <v/>
      </c>
      <c r="B152" s="69"/>
      <c r="C152" s="65" t="str">
        <f aca="false">IF($B152="","",MONTH($B152))</f>
        <v/>
      </c>
      <c r="D152" s="70"/>
      <c r="E152" s="70"/>
      <c r="F152" s="70"/>
      <c r="G152" s="70"/>
      <c r="H152" s="70"/>
      <c r="I152" s="70"/>
      <c r="J152" s="71"/>
      <c r="K152" s="72"/>
      <c r="L152" s="4"/>
      <c r="M152" s="4"/>
      <c r="N152" s="4"/>
      <c r="O152" s="4"/>
      <c r="P152" s="4"/>
      <c r="Q152" s="4"/>
    </row>
    <row r="153" customFormat="false" ht="18" hidden="false" customHeight="true" outlineLevel="0" collapsed="false">
      <c r="A153" s="63" t="str">
        <f aca="false">IF($B153="","","PG-"&amp;TEXT(ROW()-5,"0000"))</f>
        <v/>
      </c>
      <c r="B153" s="64"/>
      <c r="C153" s="65" t="str">
        <f aca="false">IF($B153="","",MONTH($B153))</f>
        <v/>
      </c>
      <c r="D153" s="66"/>
      <c r="E153" s="66"/>
      <c r="F153" s="66"/>
      <c r="G153" s="66"/>
      <c r="H153" s="66"/>
      <c r="I153" s="66"/>
      <c r="J153" s="67"/>
      <c r="K153" s="68"/>
      <c r="L153" s="4"/>
      <c r="M153" s="4"/>
      <c r="N153" s="4"/>
      <c r="O153" s="4"/>
      <c r="P153" s="4"/>
      <c r="Q153" s="4"/>
    </row>
    <row r="154" customFormat="false" ht="18" hidden="false" customHeight="true" outlineLevel="0" collapsed="false">
      <c r="A154" s="63" t="str">
        <f aca="false">IF($B154="","","PG-"&amp;TEXT(ROW()-5,"0000"))</f>
        <v/>
      </c>
      <c r="B154" s="69"/>
      <c r="C154" s="65" t="str">
        <f aca="false">IF($B154="","",MONTH($B154))</f>
        <v/>
      </c>
      <c r="D154" s="70"/>
      <c r="E154" s="70"/>
      <c r="F154" s="70"/>
      <c r="G154" s="70"/>
      <c r="H154" s="70"/>
      <c r="I154" s="70"/>
      <c r="J154" s="71"/>
      <c r="K154" s="72"/>
      <c r="L154" s="4"/>
      <c r="M154" s="4"/>
      <c r="N154" s="4"/>
      <c r="O154" s="4"/>
      <c r="P154" s="4"/>
      <c r="Q154" s="4"/>
    </row>
    <row r="155" customFormat="false" ht="18" hidden="false" customHeight="true" outlineLevel="0" collapsed="false">
      <c r="A155" s="63" t="str">
        <f aca="false">IF($B155="","","PG-"&amp;TEXT(ROW()-5,"0000"))</f>
        <v/>
      </c>
      <c r="B155" s="64"/>
      <c r="C155" s="65" t="str">
        <f aca="false">IF($B155="","",MONTH($B155))</f>
        <v/>
      </c>
      <c r="D155" s="66"/>
      <c r="E155" s="66"/>
      <c r="F155" s="66"/>
      <c r="G155" s="66"/>
      <c r="H155" s="66"/>
      <c r="I155" s="66"/>
      <c r="J155" s="67"/>
      <c r="K155" s="68"/>
      <c r="L155" s="4"/>
      <c r="M155" s="4"/>
      <c r="N155" s="4"/>
      <c r="O155" s="4"/>
      <c r="P155" s="4"/>
      <c r="Q155" s="4"/>
    </row>
    <row r="156" customFormat="false" ht="18" hidden="false" customHeight="true" outlineLevel="0" collapsed="false">
      <c r="A156" s="63" t="str">
        <f aca="false">IF($B156="","","PG-"&amp;TEXT(ROW()-5,"0000"))</f>
        <v/>
      </c>
      <c r="B156" s="69"/>
      <c r="C156" s="65" t="str">
        <f aca="false">IF($B156="","",MONTH($B156))</f>
        <v/>
      </c>
      <c r="D156" s="70"/>
      <c r="E156" s="70"/>
      <c r="F156" s="70"/>
      <c r="G156" s="70"/>
      <c r="H156" s="70"/>
      <c r="I156" s="70"/>
      <c r="J156" s="71"/>
      <c r="K156" s="72"/>
      <c r="L156" s="4"/>
      <c r="M156" s="4"/>
      <c r="N156" s="4"/>
      <c r="O156" s="4"/>
      <c r="P156" s="4"/>
      <c r="Q156" s="4"/>
    </row>
    <row r="157" customFormat="false" ht="18" hidden="false" customHeight="true" outlineLevel="0" collapsed="false">
      <c r="A157" s="63" t="str">
        <f aca="false">IF($B157="","","PG-"&amp;TEXT(ROW()-5,"0000"))</f>
        <v/>
      </c>
      <c r="B157" s="64"/>
      <c r="C157" s="65" t="str">
        <f aca="false">IF($B157="","",MONTH($B157))</f>
        <v/>
      </c>
      <c r="D157" s="66"/>
      <c r="E157" s="66"/>
      <c r="F157" s="66"/>
      <c r="G157" s="66"/>
      <c r="H157" s="66"/>
      <c r="I157" s="66"/>
      <c r="J157" s="67"/>
      <c r="K157" s="68"/>
      <c r="L157" s="4"/>
      <c r="M157" s="4"/>
      <c r="N157" s="4"/>
      <c r="O157" s="4"/>
      <c r="P157" s="4"/>
      <c r="Q157" s="4"/>
    </row>
    <row r="158" customFormat="false" ht="18" hidden="false" customHeight="true" outlineLevel="0" collapsed="false">
      <c r="A158" s="63" t="str">
        <f aca="false">IF($B158="","","PG-"&amp;TEXT(ROW()-5,"0000"))</f>
        <v/>
      </c>
      <c r="B158" s="69"/>
      <c r="C158" s="65" t="str">
        <f aca="false">IF($B158="","",MONTH($B158))</f>
        <v/>
      </c>
      <c r="D158" s="70"/>
      <c r="E158" s="70"/>
      <c r="F158" s="70"/>
      <c r="G158" s="70"/>
      <c r="H158" s="70"/>
      <c r="I158" s="70"/>
      <c r="J158" s="71"/>
      <c r="K158" s="72"/>
      <c r="L158" s="4"/>
      <c r="M158" s="4"/>
      <c r="N158" s="4"/>
      <c r="O158" s="4"/>
      <c r="P158" s="4"/>
      <c r="Q158" s="4"/>
    </row>
    <row r="159" customFormat="false" ht="18" hidden="false" customHeight="true" outlineLevel="0" collapsed="false">
      <c r="A159" s="63" t="str">
        <f aca="false">IF($B159="","","PG-"&amp;TEXT(ROW()-5,"0000"))</f>
        <v/>
      </c>
      <c r="B159" s="64"/>
      <c r="C159" s="65" t="str">
        <f aca="false">IF($B159="","",MONTH($B159))</f>
        <v/>
      </c>
      <c r="D159" s="66"/>
      <c r="E159" s="66"/>
      <c r="F159" s="66"/>
      <c r="G159" s="66"/>
      <c r="H159" s="66"/>
      <c r="I159" s="66"/>
      <c r="J159" s="67"/>
      <c r="K159" s="68"/>
      <c r="L159" s="4"/>
      <c r="M159" s="4"/>
      <c r="N159" s="4"/>
      <c r="O159" s="4"/>
      <c r="P159" s="4"/>
      <c r="Q159" s="4"/>
    </row>
    <row r="160" customFormat="false" ht="18" hidden="false" customHeight="true" outlineLevel="0" collapsed="false">
      <c r="A160" s="63" t="str">
        <f aca="false">IF($B160="","","PG-"&amp;TEXT(ROW()-5,"0000"))</f>
        <v/>
      </c>
      <c r="B160" s="69"/>
      <c r="C160" s="65" t="str">
        <f aca="false">IF($B160="","",MONTH($B160))</f>
        <v/>
      </c>
      <c r="D160" s="70"/>
      <c r="E160" s="70"/>
      <c r="F160" s="70"/>
      <c r="G160" s="70"/>
      <c r="H160" s="70"/>
      <c r="I160" s="70"/>
      <c r="J160" s="71"/>
      <c r="K160" s="72"/>
      <c r="L160" s="4"/>
      <c r="M160" s="4"/>
      <c r="N160" s="4"/>
      <c r="O160" s="4"/>
      <c r="P160" s="4"/>
      <c r="Q160" s="4"/>
    </row>
    <row r="161" customFormat="false" ht="18" hidden="false" customHeight="true" outlineLevel="0" collapsed="false">
      <c r="A161" s="63" t="str">
        <f aca="false">IF($B161="","","PG-"&amp;TEXT(ROW()-5,"0000"))</f>
        <v/>
      </c>
      <c r="B161" s="64"/>
      <c r="C161" s="65" t="str">
        <f aca="false">IF($B161="","",MONTH($B161))</f>
        <v/>
      </c>
      <c r="D161" s="66"/>
      <c r="E161" s="66"/>
      <c r="F161" s="66"/>
      <c r="G161" s="66"/>
      <c r="H161" s="66"/>
      <c r="I161" s="66"/>
      <c r="J161" s="67"/>
      <c r="K161" s="68"/>
      <c r="L161" s="4"/>
      <c r="M161" s="4"/>
      <c r="N161" s="4"/>
      <c r="O161" s="4"/>
      <c r="P161" s="4"/>
      <c r="Q161" s="4"/>
    </row>
    <row r="162" customFormat="false" ht="18" hidden="false" customHeight="true" outlineLevel="0" collapsed="false">
      <c r="A162" s="63" t="str">
        <f aca="false">IF($B162="","","PG-"&amp;TEXT(ROW()-5,"0000"))</f>
        <v/>
      </c>
      <c r="B162" s="69"/>
      <c r="C162" s="65" t="str">
        <f aca="false">IF($B162="","",MONTH($B162))</f>
        <v/>
      </c>
      <c r="D162" s="70"/>
      <c r="E162" s="70"/>
      <c r="F162" s="70"/>
      <c r="G162" s="70"/>
      <c r="H162" s="70"/>
      <c r="I162" s="70"/>
      <c r="J162" s="71"/>
      <c r="K162" s="72"/>
      <c r="L162" s="4"/>
      <c r="M162" s="4"/>
      <c r="N162" s="4"/>
      <c r="O162" s="4"/>
      <c r="P162" s="4"/>
      <c r="Q162" s="4"/>
    </row>
    <row r="163" customFormat="false" ht="18" hidden="false" customHeight="true" outlineLevel="0" collapsed="false">
      <c r="A163" s="63" t="str">
        <f aca="false">IF($B163="","","PG-"&amp;TEXT(ROW()-5,"0000"))</f>
        <v/>
      </c>
      <c r="B163" s="64"/>
      <c r="C163" s="65" t="str">
        <f aca="false">IF($B163="","",MONTH($B163))</f>
        <v/>
      </c>
      <c r="D163" s="66"/>
      <c r="E163" s="66"/>
      <c r="F163" s="66"/>
      <c r="G163" s="66"/>
      <c r="H163" s="66"/>
      <c r="I163" s="66"/>
      <c r="J163" s="67"/>
      <c r="K163" s="68"/>
      <c r="L163" s="4"/>
      <c r="M163" s="4"/>
      <c r="N163" s="4"/>
      <c r="O163" s="4"/>
      <c r="P163" s="4"/>
      <c r="Q163" s="4"/>
    </row>
    <row r="164" customFormat="false" ht="18" hidden="false" customHeight="true" outlineLevel="0" collapsed="false">
      <c r="A164" s="63" t="str">
        <f aca="false">IF($B164="","","PG-"&amp;TEXT(ROW()-5,"0000"))</f>
        <v/>
      </c>
      <c r="B164" s="69"/>
      <c r="C164" s="65" t="str">
        <f aca="false">IF($B164="","",MONTH($B164))</f>
        <v/>
      </c>
      <c r="D164" s="70"/>
      <c r="E164" s="70"/>
      <c r="F164" s="70"/>
      <c r="G164" s="70"/>
      <c r="H164" s="70"/>
      <c r="I164" s="70"/>
      <c r="J164" s="71"/>
      <c r="K164" s="72"/>
      <c r="L164" s="4"/>
      <c r="M164" s="4"/>
      <c r="N164" s="4"/>
      <c r="O164" s="4"/>
      <c r="P164" s="4"/>
      <c r="Q164" s="4"/>
    </row>
    <row r="165" customFormat="false" ht="18" hidden="false" customHeight="true" outlineLevel="0" collapsed="false">
      <c r="A165" s="63" t="str">
        <f aca="false">IF($B165="","","PG-"&amp;TEXT(ROW()-5,"0000"))</f>
        <v/>
      </c>
      <c r="B165" s="64"/>
      <c r="C165" s="65" t="str">
        <f aca="false">IF($B165="","",MONTH($B165))</f>
        <v/>
      </c>
      <c r="D165" s="66"/>
      <c r="E165" s="66"/>
      <c r="F165" s="66"/>
      <c r="G165" s="66"/>
      <c r="H165" s="66"/>
      <c r="I165" s="66"/>
      <c r="J165" s="67"/>
      <c r="K165" s="68"/>
      <c r="L165" s="4"/>
      <c r="M165" s="4"/>
      <c r="N165" s="4"/>
      <c r="O165" s="4"/>
      <c r="P165" s="4"/>
      <c r="Q165" s="4"/>
    </row>
    <row r="166" customFormat="false" ht="18" hidden="false" customHeight="true" outlineLevel="0" collapsed="false">
      <c r="A166" s="63" t="str">
        <f aca="false">IF($B166="","","PG-"&amp;TEXT(ROW()-5,"0000"))</f>
        <v/>
      </c>
      <c r="B166" s="69"/>
      <c r="C166" s="65" t="str">
        <f aca="false">IF($B166="","",MONTH($B166))</f>
        <v/>
      </c>
      <c r="D166" s="70"/>
      <c r="E166" s="70"/>
      <c r="F166" s="70"/>
      <c r="G166" s="70"/>
      <c r="H166" s="70"/>
      <c r="I166" s="70"/>
      <c r="J166" s="71"/>
      <c r="K166" s="72"/>
      <c r="L166" s="4"/>
      <c r="M166" s="4"/>
      <c r="N166" s="4"/>
      <c r="O166" s="4"/>
      <c r="P166" s="4"/>
      <c r="Q166" s="4"/>
    </row>
    <row r="167" customFormat="false" ht="18" hidden="false" customHeight="true" outlineLevel="0" collapsed="false">
      <c r="A167" s="63" t="str">
        <f aca="false">IF($B167="","","PG-"&amp;TEXT(ROW()-5,"0000"))</f>
        <v/>
      </c>
      <c r="B167" s="64"/>
      <c r="C167" s="65" t="str">
        <f aca="false">IF($B167="","",MONTH($B167))</f>
        <v/>
      </c>
      <c r="D167" s="66"/>
      <c r="E167" s="66"/>
      <c r="F167" s="66"/>
      <c r="G167" s="66"/>
      <c r="H167" s="66"/>
      <c r="I167" s="66"/>
      <c r="J167" s="67"/>
      <c r="K167" s="68"/>
      <c r="L167" s="4"/>
      <c r="M167" s="4"/>
      <c r="N167" s="4"/>
      <c r="O167" s="4"/>
      <c r="P167" s="4"/>
      <c r="Q167" s="4"/>
    </row>
    <row r="168" customFormat="false" ht="18" hidden="false" customHeight="true" outlineLevel="0" collapsed="false">
      <c r="A168" s="63" t="str">
        <f aca="false">IF($B168="","","PG-"&amp;TEXT(ROW()-5,"0000"))</f>
        <v/>
      </c>
      <c r="B168" s="69"/>
      <c r="C168" s="65" t="str">
        <f aca="false">IF($B168="","",MONTH($B168))</f>
        <v/>
      </c>
      <c r="D168" s="70"/>
      <c r="E168" s="70"/>
      <c r="F168" s="70"/>
      <c r="G168" s="70"/>
      <c r="H168" s="70"/>
      <c r="I168" s="70"/>
      <c r="J168" s="71"/>
      <c r="K168" s="72"/>
      <c r="L168" s="4"/>
      <c r="M168" s="4"/>
      <c r="N168" s="4"/>
      <c r="O168" s="4"/>
      <c r="P168" s="4"/>
      <c r="Q168" s="4"/>
    </row>
    <row r="169" customFormat="false" ht="18" hidden="false" customHeight="true" outlineLevel="0" collapsed="false">
      <c r="A169" s="63" t="str">
        <f aca="false">IF($B169="","","PG-"&amp;TEXT(ROW()-5,"0000"))</f>
        <v/>
      </c>
      <c r="B169" s="64"/>
      <c r="C169" s="65" t="str">
        <f aca="false">IF($B169="","",MONTH($B169))</f>
        <v/>
      </c>
      <c r="D169" s="66"/>
      <c r="E169" s="66"/>
      <c r="F169" s="66"/>
      <c r="G169" s="66"/>
      <c r="H169" s="66"/>
      <c r="I169" s="66"/>
      <c r="J169" s="67"/>
      <c r="K169" s="68"/>
      <c r="L169" s="4"/>
      <c r="M169" s="4"/>
      <c r="N169" s="4"/>
      <c r="O169" s="4"/>
      <c r="P169" s="4"/>
      <c r="Q169" s="4"/>
    </row>
    <row r="170" customFormat="false" ht="18" hidden="false" customHeight="true" outlineLevel="0" collapsed="false">
      <c r="A170" s="63" t="str">
        <f aca="false">IF($B170="","","PG-"&amp;TEXT(ROW()-5,"0000"))</f>
        <v/>
      </c>
      <c r="B170" s="69"/>
      <c r="C170" s="65" t="str">
        <f aca="false">IF($B170="","",MONTH($B170))</f>
        <v/>
      </c>
      <c r="D170" s="70"/>
      <c r="E170" s="70"/>
      <c r="F170" s="70"/>
      <c r="G170" s="70"/>
      <c r="H170" s="70"/>
      <c r="I170" s="70"/>
      <c r="J170" s="71"/>
      <c r="K170" s="72"/>
      <c r="L170" s="4"/>
      <c r="M170" s="4"/>
      <c r="N170" s="4"/>
      <c r="O170" s="4"/>
      <c r="P170" s="4"/>
      <c r="Q170" s="4"/>
    </row>
    <row r="171" customFormat="false" ht="18" hidden="false" customHeight="true" outlineLevel="0" collapsed="false">
      <c r="A171" s="63" t="str">
        <f aca="false">IF($B171="","","PG-"&amp;TEXT(ROW()-5,"0000"))</f>
        <v/>
      </c>
      <c r="B171" s="64"/>
      <c r="C171" s="65" t="str">
        <f aca="false">IF($B171="","",MONTH($B171))</f>
        <v/>
      </c>
      <c r="D171" s="66"/>
      <c r="E171" s="66"/>
      <c r="F171" s="66"/>
      <c r="G171" s="66"/>
      <c r="H171" s="66"/>
      <c r="I171" s="66"/>
      <c r="J171" s="67"/>
      <c r="K171" s="68"/>
      <c r="L171" s="4"/>
      <c r="M171" s="4"/>
      <c r="N171" s="4"/>
      <c r="O171" s="4"/>
      <c r="P171" s="4"/>
      <c r="Q171" s="4"/>
    </row>
    <row r="172" customFormat="false" ht="18" hidden="false" customHeight="true" outlineLevel="0" collapsed="false">
      <c r="A172" s="63" t="str">
        <f aca="false">IF($B172="","","PG-"&amp;TEXT(ROW()-5,"0000"))</f>
        <v/>
      </c>
      <c r="B172" s="69"/>
      <c r="C172" s="65" t="str">
        <f aca="false">IF($B172="","",MONTH($B172))</f>
        <v/>
      </c>
      <c r="D172" s="70"/>
      <c r="E172" s="70"/>
      <c r="F172" s="70"/>
      <c r="G172" s="70"/>
      <c r="H172" s="70"/>
      <c r="I172" s="70"/>
      <c r="J172" s="71"/>
      <c r="K172" s="72"/>
      <c r="L172" s="4"/>
      <c r="M172" s="4"/>
      <c r="N172" s="4"/>
      <c r="O172" s="4"/>
      <c r="P172" s="4"/>
      <c r="Q172" s="4"/>
    </row>
    <row r="173" customFormat="false" ht="18" hidden="false" customHeight="true" outlineLevel="0" collapsed="false">
      <c r="A173" s="63" t="str">
        <f aca="false">IF($B173="","","PG-"&amp;TEXT(ROW()-5,"0000"))</f>
        <v/>
      </c>
      <c r="B173" s="64"/>
      <c r="C173" s="65" t="str">
        <f aca="false">IF($B173="","",MONTH($B173))</f>
        <v/>
      </c>
      <c r="D173" s="66"/>
      <c r="E173" s="66"/>
      <c r="F173" s="66"/>
      <c r="G173" s="66"/>
      <c r="H173" s="66"/>
      <c r="I173" s="66"/>
      <c r="J173" s="67"/>
      <c r="K173" s="68"/>
      <c r="L173" s="4"/>
      <c r="M173" s="4"/>
      <c r="N173" s="4"/>
      <c r="O173" s="4"/>
      <c r="P173" s="4"/>
      <c r="Q173" s="4"/>
    </row>
    <row r="174" customFormat="false" ht="18" hidden="false" customHeight="true" outlineLevel="0" collapsed="false">
      <c r="A174" s="63" t="str">
        <f aca="false">IF($B174="","","PG-"&amp;TEXT(ROW()-5,"0000"))</f>
        <v/>
      </c>
      <c r="B174" s="69"/>
      <c r="C174" s="65" t="str">
        <f aca="false">IF($B174="","",MONTH($B174))</f>
        <v/>
      </c>
      <c r="D174" s="70"/>
      <c r="E174" s="70"/>
      <c r="F174" s="70"/>
      <c r="G174" s="70"/>
      <c r="H174" s="70"/>
      <c r="I174" s="70"/>
      <c r="J174" s="71"/>
      <c r="K174" s="72"/>
      <c r="L174" s="4"/>
      <c r="M174" s="4"/>
      <c r="N174" s="4"/>
      <c r="O174" s="4"/>
      <c r="P174" s="4"/>
      <c r="Q174" s="4"/>
    </row>
    <row r="175" customFormat="false" ht="18" hidden="false" customHeight="true" outlineLevel="0" collapsed="false">
      <c r="A175" s="63" t="str">
        <f aca="false">IF($B175="","","PG-"&amp;TEXT(ROW()-5,"0000"))</f>
        <v/>
      </c>
      <c r="B175" s="64"/>
      <c r="C175" s="65" t="str">
        <f aca="false">IF($B175="","",MONTH($B175))</f>
        <v/>
      </c>
      <c r="D175" s="66"/>
      <c r="E175" s="66"/>
      <c r="F175" s="66"/>
      <c r="G175" s="66"/>
      <c r="H175" s="66"/>
      <c r="I175" s="66"/>
      <c r="J175" s="67"/>
      <c r="K175" s="68"/>
      <c r="L175" s="4"/>
      <c r="M175" s="4"/>
      <c r="N175" s="4"/>
      <c r="O175" s="4"/>
      <c r="P175" s="4"/>
      <c r="Q175" s="4"/>
    </row>
    <row r="176" customFormat="false" ht="18" hidden="false" customHeight="true" outlineLevel="0" collapsed="false">
      <c r="A176" s="63" t="str">
        <f aca="false">IF($B176="","","PG-"&amp;TEXT(ROW()-5,"0000"))</f>
        <v/>
      </c>
      <c r="B176" s="69"/>
      <c r="C176" s="65" t="str">
        <f aca="false">IF($B176="","",MONTH($B176))</f>
        <v/>
      </c>
      <c r="D176" s="70"/>
      <c r="E176" s="70"/>
      <c r="F176" s="70"/>
      <c r="G176" s="70"/>
      <c r="H176" s="70"/>
      <c r="I176" s="70"/>
      <c r="J176" s="71"/>
      <c r="K176" s="72"/>
      <c r="L176" s="4"/>
      <c r="M176" s="4"/>
      <c r="N176" s="4"/>
      <c r="O176" s="4"/>
      <c r="P176" s="4"/>
      <c r="Q176" s="4"/>
    </row>
    <row r="177" customFormat="false" ht="18" hidden="false" customHeight="true" outlineLevel="0" collapsed="false">
      <c r="A177" s="63" t="str">
        <f aca="false">IF($B177="","","PG-"&amp;TEXT(ROW()-5,"0000"))</f>
        <v/>
      </c>
      <c r="B177" s="64"/>
      <c r="C177" s="65" t="str">
        <f aca="false">IF($B177="","",MONTH($B177))</f>
        <v/>
      </c>
      <c r="D177" s="66"/>
      <c r="E177" s="66"/>
      <c r="F177" s="66"/>
      <c r="G177" s="66"/>
      <c r="H177" s="66"/>
      <c r="I177" s="66"/>
      <c r="J177" s="67"/>
      <c r="K177" s="68"/>
      <c r="L177" s="4"/>
      <c r="M177" s="4"/>
      <c r="N177" s="4"/>
      <c r="O177" s="4"/>
      <c r="P177" s="4"/>
      <c r="Q177" s="4"/>
    </row>
    <row r="178" customFormat="false" ht="18" hidden="false" customHeight="true" outlineLevel="0" collapsed="false">
      <c r="A178" s="63" t="str">
        <f aca="false">IF($B178="","","PG-"&amp;TEXT(ROW()-5,"0000"))</f>
        <v/>
      </c>
      <c r="B178" s="69"/>
      <c r="C178" s="65" t="str">
        <f aca="false">IF($B178="","",MONTH($B178))</f>
        <v/>
      </c>
      <c r="D178" s="70"/>
      <c r="E178" s="70"/>
      <c r="F178" s="70"/>
      <c r="G178" s="70"/>
      <c r="H178" s="70"/>
      <c r="I178" s="70"/>
      <c r="J178" s="71"/>
      <c r="K178" s="72"/>
      <c r="L178" s="4"/>
      <c r="M178" s="4"/>
      <c r="N178" s="4"/>
      <c r="O178" s="4"/>
      <c r="P178" s="4"/>
      <c r="Q178" s="4"/>
    </row>
    <row r="179" customFormat="false" ht="18" hidden="false" customHeight="true" outlineLevel="0" collapsed="false">
      <c r="A179" s="63" t="str">
        <f aca="false">IF($B179="","","PG-"&amp;TEXT(ROW()-5,"0000"))</f>
        <v/>
      </c>
      <c r="B179" s="64"/>
      <c r="C179" s="65" t="str">
        <f aca="false">IF($B179="","",MONTH($B179))</f>
        <v/>
      </c>
      <c r="D179" s="66"/>
      <c r="E179" s="66"/>
      <c r="F179" s="66"/>
      <c r="G179" s="66"/>
      <c r="H179" s="66"/>
      <c r="I179" s="66"/>
      <c r="J179" s="67"/>
      <c r="K179" s="68"/>
      <c r="L179" s="4"/>
      <c r="M179" s="4"/>
      <c r="N179" s="4"/>
      <c r="O179" s="4"/>
      <c r="P179" s="4"/>
      <c r="Q179" s="4"/>
    </row>
    <row r="180" customFormat="false" ht="18" hidden="false" customHeight="true" outlineLevel="0" collapsed="false">
      <c r="A180" s="63" t="str">
        <f aca="false">IF($B180="","","PG-"&amp;TEXT(ROW()-5,"0000"))</f>
        <v/>
      </c>
      <c r="B180" s="69"/>
      <c r="C180" s="65" t="str">
        <f aca="false">IF($B180="","",MONTH($B180))</f>
        <v/>
      </c>
      <c r="D180" s="70"/>
      <c r="E180" s="70"/>
      <c r="F180" s="70"/>
      <c r="G180" s="70"/>
      <c r="H180" s="70"/>
      <c r="I180" s="70"/>
      <c r="J180" s="71"/>
      <c r="K180" s="72"/>
      <c r="L180" s="4"/>
      <c r="M180" s="4"/>
      <c r="N180" s="4"/>
      <c r="O180" s="4"/>
      <c r="P180" s="4"/>
      <c r="Q180" s="4"/>
    </row>
    <row r="181" customFormat="false" ht="18" hidden="false" customHeight="true" outlineLevel="0" collapsed="false">
      <c r="A181" s="63" t="str">
        <f aca="false">IF($B181="","","PG-"&amp;TEXT(ROW()-5,"0000"))</f>
        <v/>
      </c>
      <c r="B181" s="64"/>
      <c r="C181" s="65" t="str">
        <f aca="false">IF($B181="","",MONTH($B181))</f>
        <v/>
      </c>
      <c r="D181" s="66"/>
      <c r="E181" s="66"/>
      <c r="F181" s="66"/>
      <c r="G181" s="66"/>
      <c r="H181" s="66"/>
      <c r="I181" s="66"/>
      <c r="J181" s="67"/>
      <c r="K181" s="68"/>
      <c r="L181" s="4"/>
      <c r="M181" s="4"/>
      <c r="N181" s="4"/>
      <c r="O181" s="4"/>
      <c r="P181" s="4"/>
      <c r="Q181" s="4"/>
    </row>
    <row r="182" customFormat="false" ht="18" hidden="false" customHeight="true" outlineLevel="0" collapsed="false">
      <c r="A182" s="63" t="str">
        <f aca="false">IF($B182="","","PG-"&amp;TEXT(ROW()-5,"0000"))</f>
        <v/>
      </c>
      <c r="B182" s="69"/>
      <c r="C182" s="65" t="str">
        <f aca="false">IF($B182="","",MONTH($B182))</f>
        <v/>
      </c>
      <c r="D182" s="70"/>
      <c r="E182" s="70"/>
      <c r="F182" s="70"/>
      <c r="G182" s="70"/>
      <c r="H182" s="70"/>
      <c r="I182" s="70"/>
      <c r="J182" s="71"/>
      <c r="K182" s="72"/>
      <c r="L182" s="4"/>
      <c r="M182" s="4"/>
      <c r="N182" s="4"/>
      <c r="O182" s="4"/>
      <c r="P182" s="4"/>
      <c r="Q182" s="4"/>
    </row>
    <row r="183" customFormat="false" ht="18" hidden="false" customHeight="true" outlineLevel="0" collapsed="false">
      <c r="A183" s="63" t="str">
        <f aca="false">IF($B183="","","PG-"&amp;TEXT(ROW()-5,"0000"))</f>
        <v/>
      </c>
      <c r="B183" s="64"/>
      <c r="C183" s="65" t="str">
        <f aca="false">IF($B183="","",MONTH($B183))</f>
        <v/>
      </c>
      <c r="D183" s="66"/>
      <c r="E183" s="66"/>
      <c r="F183" s="66"/>
      <c r="G183" s="66"/>
      <c r="H183" s="66"/>
      <c r="I183" s="66"/>
      <c r="J183" s="67"/>
      <c r="K183" s="68"/>
      <c r="L183" s="4"/>
      <c r="M183" s="4"/>
      <c r="N183" s="4"/>
      <c r="O183" s="4"/>
      <c r="P183" s="4"/>
      <c r="Q183" s="4"/>
    </row>
    <row r="184" customFormat="false" ht="18" hidden="false" customHeight="true" outlineLevel="0" collapsed="false">
      <c r="A184" s="63" t="str">
        <f aca="false">IF($B184="","","PG-"&amp;TEXT(ROW()-5,"0000"))</f>
        <v/>
      </c>
      <c r="B184" s="69"/>
      <c r="C184" s="65" t="str">
        <f aca="false">IF($B184="","",MONTH($B184))</f>
        <v/>
      </c>
      <c r="D184" s="70"/>
      <c r="E184" s="70"/>
      <c r="F184" s="70"/>
      <c r="G184" s="70"/>
      <c r="H184" s="70"/>
      <c r="I184" s="70"/>
      <c r="J184" s="71"/>
      <c r="K184" s="72"/>
      <c r="L184" s="4"/>
      <c r="M184" s="4"/>
      <c r="N184" s="4"/>
      <c r="O184" s="4"/>
      <c r="P184" s="4"/>
      <c r="Q184" s="4"/>
    </row>
    <row r="185" customFormat="false" ht="18" hidden="false" customHeight="true" outlineLevel="0" collapsed="false">
      <c r="A185" s="63" t="str">
        <f aca="false">IF($B185="","","PG-"&amp;TEXT(ROW()-5,"0000"))</f>
        <v/>
      </c>
      <c r="B185" s="64"/>
      <c r="C185" s="65" t="str">
        <f aca="false">IF($B185="","",MONTH($B185))</f>
        <v/>
      </c>
      <c r="D185" s="66"/>
      <c r="E185" s="66"/>
      <c r="F185" s="66"/>
      <c r="G185" s="66"/>
      <c r="H185" s="66"/>
      <c r="I185" s="66"/>
      <c r="J185" s="67"/>
      <c r="K185" s="68"/>
      <c r="L185" s="4"/>
      <c r="M185" s="4"/>
      <c r="N185" s="4"/>
      <c r="O185" s="4"/>
      <c r="P185" s="4"/>
      <c r="Q185" s="4"/>
    </row>
    <row r="186" customFormat="false" ht="18" hidden="false" customHeight="true" outlineLevel="0" collapsed="false">
      <c r="A186" s="63" t="str">
        <f aca="false">IF($B186="","","PG-"&amp;TEXT(ROW()-5,"0000"))</f>
        <v/>
      </c>
      <c r="B186" s="69"/>
      <c r="C186" s="65" t="str">
        <f aca="false">IF($B186="","",MONTH($B186))</f>
        <v/>
      </c>
      <c r="D186" s="70"/>
      <c r="E186" s="70"/>
      <c r="F186" s="70"/>
      <c r="G186" s="70"/>
      <c r="H186" s="70"/>
      <c r="I186" s="70"/>
      <c r="J186" s="71"/>
      <c r="K186" s="72"/>
      <c r="L186" s="4"/>
      <c r="M186" s="4"/>
      <c r="N186" s="4"/>
      <c r="O186" s="4"/>
      <c r="P186" s="4"/>
      <c r="Q186" s="4"/>
    </row>
    <row r="187" customFormat="false" ht="18" hidden="false" customHeight="true" outlineLevel="0" collapsed="false">
      <c r="A187" s="63" t="str">
        <f aca="false">IF($B187="","","PG-"&amp;TEXT(ROW()-5,"0000"))</f>
        <v/>
      </c>
      <c r="B187" s="64"/>
      <c r="C187" s="65" t="str">
        <f aca="false">IF($B187="","",MONTH($B187))</f>
        <v/>
      </c>
      <c r="D187" s="66"/>
      <c r="E187" s="66"/>
      <c r="F187" s="66"/>
      <c r="G187" s="66"/>
      <c r="H187" s="66"/>
      <c r="I187" s="66"/>
      <c r="J187" s="67"/>
      <c r="K187" s="68"/>
      <c r="L187" s="4"/>
      <c r="M187" s="4"/>
      <c r="N187" s="4"/>
      <c r="O187" s="4"/>
      <c r="P187" s="4"/>
      <c r="Q187" s="4"/>
    </row>
    <row r="188" customFormat="false" ht="18" hidden="false" customHeight="true" outlineLevel="0" collapsed="false">
      <c r="A188" s="63" t="str">
        <f aca="false">IF($B188="","","PG-"&amp;TEXT(ROW()-5,"0000"))</f>
        <v/>
      </c>
      <c r="B188" s="69"/>
      <c r="C188" s="65" t="str">
        <f aca="false">IF($B188="","",MONTH($B188))</f>
        <v/>
      </c>
      <c r="D188" s="70"/>
      <c r="E188" s="70"/>
      <c r="F188" s="70"/>
      <c r="G188" s="70"/>
      <c r="H188" s="70"/>
      <c r="I188" s="70"/>
      <c r="J188" s="71"/>
      <c r="K188" s="72"/>
      <c r="L188" s="4"/>
      <c r="M188" s="4"/>
      <c r="N188" s="4"/>
      <c r="O188" s="4"/>
      <c r="P188" s="4"/>
      <c r="Q188" s="4"/>
    </row>
    <row r="189" customFormat="false" ht="18" hidden="false" customHeight="true" outlineLevel="0" collapsed="false">
      <c r="A189" s="63" t="str">
        <f aca="false">IF($B189="","","PG-"&amp;TEXT(ROW()-5,"0000"))</f>
        <v/>
      </c>
      <c r="B189" s="64"/>
      <c r="C189" s="65" t="str">
        <f aca="false">IF($B189="","",MONTH($B189))</f>
        <v/>
      </c>
      <c r="D189" s="66"/>
      <c r="E189" s="66"/>
      <c r="F189" s="66"/>
      <c r="G189" s="66"/>
      <c r="H189" s="66"/>
      <c r="I189" s="66"/>
      <c r="J189" s="67"/>
      <c r="K189" s="68"/>
      <c r="L189" s="4"/>
      <c r="M189" s="4"/>
      <c r="N189" s="4"/>
      <c r="O189" s="4"/>
      <c r="P189" s="4"/>
      <c r="Q189" s="4"/>
    </row>
    <row r="190" customFormat="false" ht="18" hidden="false" customHeight="true" outlineLevel="0" collapsed="false">
      <c r="A190" s="63" t="str">
        <f aca="false">IF($B190="","","PG-"&amp;TEXT(ROW()-5,"0000"))</f>
        <v/>
      </c>
      <c r="B190" s="69"/>
      <c r="C190" s="65" t="str">
        <f aca="false">IF($B190="","",MONTH($B190))</f>
        <v/>
      </c>
      <c r="D190" s="70"/>
      <c r="E190" s="70"/>
      <c r="F190" s="70"/>
      <c r="G190" s="70"/>
      <c r="H190" s="70"/>
      <c r="I190" s="70"/>
      <c r="J190" s="71"/>
      <c r="K190" s="72"/>
      <c r="L190" s="4"/>
      <c r="M190" s="4"/>
      <c r="N190" s="4"/>
      <c r="O190" s="4"/>
      <c r="P190" s="4"/>
      <c r="Q190" s="4"/>
    </row>
    <row r="191" customFormat="false" ht="18" hidden="false" customHeight="true" outlineLevel="0" collapsed="false">
      <c r="A191" s="63" t="str">
        <f aca="false">IF($B191="","","PG-"&amp;TEXT(ROW()-5,"0000"))</f>
        <v/>
      </c>
      <c r="B191" s="64"/>
      <c r="C191" s="65" t="str">
        <f aca="false">IF($B191="","",MONTH($B191))</f>
        <v/>
      </c>
      <c r="D191" s="66"/>
      <c r="E191" s="66"/>
      <c r="F191" s="66"/>
      <c r="G191" s="66"/>
      <c r="H191" s="66"/>
      <c r="I191" s="66"/>
      <c r="J191" s="67"/>
      <c r="K191" s="68"/>
      <c r="L191" s="4"/>
      <c r="M191" s="4"/>
      <c r="N191" s="4"/>
      <c r="O191" s="4"/>
      <c r="P191" s="4"/>
      <c r="Q191" s="4"/>
    </row>
    <row r="192" customFormat="false" ht="18" hidden="false" customHeight="true" outlineLevel="0" collapsed="false">
      <c r="A192" s="63" t="str">
        <f aca="false">IF($B192="","","PG-"&amp;TEXT(ROW()-5,"0000"))</f>
        <v/>
      </c>
      <c r="B192" s="69"/>
      <c r="C192" s="65" t="str">
        <f aca="false">IF($B192="","",MONTH($B192))</f>
        <v/>
      </c>
      <c r="D192" s="70"/>
      <c r="E192" s="70"/>
      <c r="F192" s="70"/>
      <c r="G192" s="70"/>
      <c r="H192" s="70"/>
      <c r="I192" s="70"/>
      <c r="J192" s="71"/>
      <c r="K192" s="72"/>
      <c r="L192" s="4"/>
      <c r="M192" s="4"/>
      <c r="N192" s="4"/>
      <c r="O192" s="4"/>
      <c r="P192" s="4"/>
      <c r="Q192" s="4"/>
    </row>
    <row r="193" customFormat="false" ht="18" hidden="false" customHeight="true" outlineLevel="0" collapsed="false">
      <c r="A193" s="63" t="str">
        <f aca="false">IF($B193="","","PG-"&amp;TEXT(ROW()-5,"0000"))</f>
        <v/>
      </c>
      <c r="B193" s="64"/>
      <c r="C193" s="65" t="str">
        <f aca="false">IF($B193="","",MONTH($B193))</f>
        <v/>
      </c>
      <c r="D193" s="66"/>
      <c r="E193" s="66"/>
      <c r="F193" s="66"/>
      <c r="G193" s="66"/>
      <c r="H193" s="66"/>
      <c r="I193" s="66"/>
      <c r="J193" s="67"/>
      <c r="K193" s="68"/>
      <c r="L193" s="4"/>
      <c r="M193" s="4"/>
      <c r="N193" s="4"/>
      <c r="O193" s="4"/>
      <c r="P193" s="4"/>
      <c r="Q193" s="4"/>
    </row>
    <row r="194" customFormat="false" ht="18" hidden="false" customHeight="true" outlineLevel="0" collapsed="false">
      <c r="A194" s="63" t="str">
        <f aca="false">IF($B194="","","PG-"&amp;TEXT(ROW()-5,"0000"))</f>
        <v/>
      </c>
      <c r="B194" s="69"/>
      <c r="C194" s="65" t="str">
        <f aca="false">IF($B194="","",MONTH($B194))</f>
        <v/>
      </c>
      <c r="D194" s="70"/>
      <c r="E194" s="70"/>
      <c r="F194" s="70"/>
      <c r="G194" s="70"/>
      <c r="H194" s="70"/>
      <c r="I194" s="70"/>
      <c r="J194" s="71"/>
      <c r="K194" s="72"/>
      <c r="L194" s="4"/>
      <c r="M194" s="4"/>
      <c r="N194" s="4"/>
      <c r="O194" s="4"/>
      <c r="P194" s="4"/>
      <c r="Q194" s="4"/>
    </row>
    <row r="195" customFormat="false" ht="18" hidden="false" customHeight="true" outlineLevel="0" collapsed="false">
      <c r="A195" s="63" t="str">
        <f aca="false">IF($B195="","","PG-"&amp;TEXT(ROW()-5,"0000"))</f>
        <v/>
      </c>
      <c r="B195" s="64"/>
      <c r="C195" s="65" t="str">
        <f aca="false">IF($B195="","",MONTH($B195))</f>
        <v/>
      </c>
      <c r="D195" s="66"/>
      <c r="E195" s="66"/>
      <c r="F195" s="66"/>
      <c r="G195" s="66"/>
      <c r="H195" s="66"/>
      <c r="I195" s="66"/>
      <c r="J195" s="67"/>
      <c r="K195" s="68"/>
      <c r="L195" s="4"/>
      <c r="M195" s="4"/>
      <c r="N195" s="4"/>
      <c r="O195" s="4"/>
      <c r="P195" s="4"/>
      <c r="Q195" s="4"/>
    </row>
    <row r="196" customFormat="false" ht="18" hidden="false" customHeight="true" outlineLevel="0" collapsed="false">
      <c r="A196" s="63" t="str">
        <f aca="false">IF($B196="","","PG-"&amp;TEXT(ROW()-5,"0000"))</f>
        <v/>
      </c>
      <c r="B196" s="69"/>
      <c r="C196" s="65" t="str">
        <f aca="false">IF($B196="","",MONTH($B196))</f>
        <v/>
      </c>
      <c r="D196" s="70"/>
      <c r="E196" s="70"/>
      <c r="F196" s="70"/>
      <c r="G196" s="70"/>
      <c r="H196" s="70"/>
      <c r="I196" s="70"/>
      <c r="J196" s="71"/>
      <c r="K196" s="72"/>
      <c r="L196" s="4"/>
      <c r="M196" s="4"/>
      <c r="N196" s="4"/>
      <c r="O196" s="4"/>
      <c r="P196" s="4"/>
      <c r="Q196" s="4"/>
    </row>
    <row r="197" customFormat="false" ht="18" hidden="false" customHeight="true" outlineLevel="0" collapsed="false">
      <c r="A197" s="63" t="str">
        <f aca="false">IF($B197="","","PG-"&amp;TEXT(ROW()-5,"0000"))</f>
        <v/>
      </c>
      <c r="B197" s="64"/>
      <c r="C197" s="65" t="str">
        <f aca="false">IF($B197="","",MONTH($B197))</f>
        <v/>
      </c>
      <c r="D197" s="66"/>
      <c r="E197" s="66"/>
      <c r="F197" s="66"/>
      <c r="G197" s="66"/>
      <c r="H197" s="66"/>
      <c r="I197" s="66"/>
      <c r="J197" s="67"/>
      <c r="K197" s="68"/>
      <c r="L197" s="4"/>
      <c r="M197" s="4"/>
      <c r="N197" s="4"/>
      <c r="O197" s="4"/>
      <c r="P197" s="4"/>
      <c r="Q197" s="4"/>
    </row>
    <row r="198" customFormat="false" ht="18" hidden="false" customHeight="true" outlineLevel="0" collapsed="false">
      <c r="A198" s="63" t="str">
        <f aca="false">IF($B198="","","PG-"&amp;TEXT(ROW()-5,"0000"))</f>
        <v/>
      </c>
      <c r="B198" s="69"/>
      <c r="C198" s="65" t="str">
        <f aca="false">IF($B198="","",MONTH($B198))</f>
        <v/>
      </c>
      <c r="D198" s="70"/>
      <c r="E198" s="70"/>
      <c r="F198" s="70"/>
      <c r="G198" s="70"/>
      <c r="H198" s="70"/>
      <c r="I198" s="70"/>
      <c r="J198" s="71"/>
      <c r="K198" s="72"/>
      <c r="L198" s="4"/>
      <c r="M198" s="4"/>
      <c r="N198" s="4"/>
      <c r="O198" s="4"/>
      <c r="P198" s="4"/>
      <c r="Q198" s="4"/>
    </row>
    <row r="199" customFormat="false" ht="18" hidden="false" customHeight="true" outlineLevel="0" collapsed="false">
      <c r="A199" s="63" t="str">
        <f aca="false">IF($B199="","","PG-"&amp;TEXT(ROW()-5,"0000"))</f>
        <v/>
      </c>
      <c r="B199" s="64"/>
      <c r="C199" s="65" t="str">
        <f aca="false">IF($B199="","",MONTH($B199))</f>
        <v/>
      </c>
      <c r="D199" s="66"/>
      <c r="E199" s="66"/>
      <c r="F199" s="66"/>
      <c r="G199" s="66"/>
      <c r="H199" s="66"/>
      <c r="I199" s="66"/>
      <c r="J199" s="67"/>
      <c r="K199" s="68"/>
      <c r="L199" s="4"/>
      <c r="M199" s="4"/>
      <c r="N199" s="4"/>
      <c r="O199" s="4"/>
      <c r="P199" s="4"/>
      <c r="Q199" s="4"/>
    </row>
    <row r="200" customFormat="false" ht="18" hidden="false" customHeight="true" outlineLevel="0" collapsed="false">
      <c r="A200" s="63" t="str">
        <f aca="false">IF($B200="","","PG-"&amp;TEXT(ROW()-5,"0000"))</f>
        <v/>
      </c>
      <c r="B200" s="69"/>
      <c r="C200" s="65" t="str">
        <f aca="false">IF($B200="","",MONTH($B200))</f>
        <v/>
      </c>
      <c r="D200" s="70"/>
      <c r="E200" s="70"/>
      <c r="F200" s="70"/>
      <c r="G200" s="70"/>
      <c r="H200" s="70"/>
      <c r="I200" s="70"/>
      <c r="J200" s="71"/>
      <c r="K200" s="72"/>
      <c r="L200" s="4"/>
      <c r="M200" s="4"/>
      <c r="N200" s="4"/>
      <c r="O200" s="4"/>
      <c r="P200" s="4"/>
      <c r="Q200" s="4"/>
    </row>
    <row r="201" customFormat="false" ht="18" hidden="false" customHeight="true" outlineLevel="0" collapsed="false">
      <c r="A201" s="63" t="str">
        <f aca="false">IF($B201="","","PG-"&amp;TEXT(ROW()-5,"0000"))</f>
        <v/>
      </c>
      <c r="B201" s="64"/>
      <c r="C201" s="65" t="str">
        <f aca="false">IF($B201="","",MONTH($B201))</f>
        <v/>
      </c>
      <c r="D201" s="66"/>
      <c r="E201" s="66"/>
      <c r="F201" s="66"/>
      <c r="G201" s="66"/>
      <c r="H201" s="66"/>
      <c r="I201" s="66"/>
      <c r="J201" s="67"/>
      <c r="K201" s="68"/>
      <c r="L201" s="4"/>
      <c r="M201" s="4"/>
      <c r="N201" s="4"/>
      <c r="O201" s="4"/>
      <c r="P201" s="4"/>
      <c r="Q201" s="4"/>
    </row>
    <row r="202" customFormat="false" ht="18" hidden="false" customHeight="true" outlineLevel="0" collapsed="false">
      <c r="A202" s="63" t="str">
        <f aca="false">IF($B202="","","PG-"&amp;TEXT(ROW()-5,"0000"))</f>
        <v/>
      </c>
      <c r="B202" s="69"/>
      <c r="C202" s="65" t="str">
        <f aca="false">IF($B202="","",MONTH($B202))</f>
        <v/>
      </c>
      <c r="D202" s="70"/>
      <c r="E202" s="70"/>
      <c r="F202" s="70"/>
      <c r="G202" s="70"/>
      <c r="H202" s="70"/>
      <c r="I202" s="70"/>
      <c r="J202" s="71"/>
      <c r="K202" s="72"/>
      <c r="L202" s="4"/>
      <c r="M202" s="4"/>
      <c r="N202" s="4"/>
      <c r="O202" s="4"/>
      <c r="P202" s="4"/>
      <c r="Q202" s="4"/>
    </row>
    <row r="203" customFormat="false" ht="18" hidden="false" customHeight="true" outlineLevel="0" collapsed="false">
      <c r="A203" s="63" t="str">
        <f aca="false">IF($B203="","","PG-"&amp;TEXT(ROW()-5,"0000"))</f>
        <v/>
      </c>
      <c r="B203" s="64"/>
      <c r="C203" s="65" t="str">
        <f aca="false">IF($B203="","",MONTH($B203))</f>
        <v/>
      </c>
      <c r="D203" s="66"/>
      <c r="E203" s="66"/>
      <c r="F203" s="66"/>
      <c r="G203" s="66"/>
      <c r="H203" s="66"/>
      <c r="I203" s="66"/>
      <c r="J203" s="67"/>
      <c r="K203" s="68"/>
      <c r="L203" s="4"/>
      <c r="M203" s="4"/>
      <c r="N203" s="4"/>
      <c r="O203" s="4"/>
      <c r="P203" s="4"/>
      <c r="Q203" s="4"/>
    </row>
    <row r="204" customFormat="false" ht="18" hidden="false" customHeight="true" outlineLevel="0" collapsed="false">
      <c r="A204" s="63" t="str">
        <f aca="false">IF($B204="","","PG-"&amp;TEXT(ROW()-5,"0000"))</f>
        <v/>
      </c>
      <c r="B204" s="69"/>
      <c r="C204" s="65" t="str">
        <f aca="false">IF($B204="","",MONTH($B204))</f>
        <v/>
      </c>
      <c r="D204" s="70"/>
      <c r="E204" s="70"/>
      <c r="F204" s="70"/>
      <c r="G204" s="70"/>
      <c r="H204" s="70"/>
      <c r="I204" s="70"/>
      <c r="J204" s="71"/>
      <c r="K204" s="72"/>
      <c r="L204" s="4"/>
      <c r="M204" s="4"/>
      <c r="N204" s="4"/>
      <c r="O204" s="4"/>
      <c r="P204" s="4"/>
      <c r="Q204" s="4"/>
    </row>
    <row r="205" customFormat="false" ht="18" hidden="false" customHeight="true" outlineLevel="0" collapsed="false">
      <c r="A205" s="63" t="str">
        <f aca="false">IF($B205="","","PG-"&amp;TEXT(ROW()-5,"0000"))</f>
        <v/>
      </c>
      <c r="B205" s="64"/>
      <c r="C205" s="65" t="str">
        <f aca="false">IF($B205="","",MONTH($B205))</f>
        <v/>
      </c>
      <c r="D205" s="66"/>
      <c r="E205" s="66"/>
      <c r="F205" s="66"/>
      <c r="G205" s="66"/>
      <c r="H205" s="66"/>
      <c r="I205" s="66"/>
      <c r="J205" s="67"/>
      <c r="K205" s="68"/>
      <c r="L205" s="4"/>
      <c r="M205" s="4"/>
      <c r="N205" s="4"/>
      <c r="O205" s="4"/>
      <c r="P205" s="4"/>
      <c r="Q205" s="4"/>
    </row>
    <row r="206" customFormat="false" ht="18" hidden="false" customHeight="true" outlineLevel="0" collapsed="false">
      <c r="A206" s="63" t="str">
        <f aca="false">IF($B206="","","PG-"&amp;TEXT(ROW()-5,"0000"))</f>
        <v/>
      </c>
      <c r="B206" s="69"/>
      <c r="C206" s="65" t="str">
        <f aca="false">IF($B206="","",MONTH($B206))</f>
        <v/>
      </c>
      <c r="D206" s="70"/>
      <c r="E206" s="70"/>
      <c r="F206" s="70"/>
      <c r="G206" s="70"/>
      <c r="H206" s="70"/>
      <c r="I206" s="70"/>
      <c r="J206" s="71"/>
      <c r="K206" s="72"/>
      <c r="L206" s="4"/>
      <c r="M206" s="4"/>
      <c r="N206" s="4"/>
      <c r="O206" s="4"/>
      <c r="P206" s="4"/>
      <c r="Q206" s="4"/>
    </row>
    <row r="207" customFormat="false" ht="18" hidden="false" customHeight="true" outlineLevel="0" collapsed="false">
      <c r="A207" s="63" t="str">
        <f aca="false">IF($B207="","","PG-"&amp;TEXT(ROW()-5,"0000"))</f>
        <v/>
      </c>
      <c r="B207" s="64"/>
      <c r="C207" s="65" t="str">
        <f aca="false">IF($B207="","",MONTH($B207))</f>
        <v/>
      </c>
      <c r="D207" s="66"/>
      <c r="E207" s="66"/>
      <c r="F207" s="66"/>
      <c r="G207" s="66"/>
      <c r="H207" s="66"/>
      <c r="I207" s="66"/>
      <c r="J207" s="67"/>
      <c r="K207" s="68"/>
      <c r="L207" s="4"/>
      <c r="M207" s="4"/>
      <c r="N207" s="4"/>
      <c r="O207" s="4"/>
      <c r="P207" s="4"/>
      <c r="Q207" s="4"/>
    </row>
    <row r="208" customFormat="false" ht="18" hidden="false" customHeight="true" outlineLevel="0" collapsed="false">
      <c r="A208" s="63" t="str">
        <f aca="false">IF($B208="","","PG-"&amp;TEXT(ROW()-5,"0000"))</f>
        <v/>
      </c>
      <c r="B208" s="69"/>
      <c r="C208" s="65" t="str">
        <f aca="false">IF($B208="","",MONTH($B208))</f>
        <v/>
      </c>
      <c r="D208" s="70"/>
      <c r="E208" s="70"/>
      <c r="F208" s="70"/>
      <c r="G208" s="70"/>
      <c r="H208" s="70"/>
      <c r="I208" s="70"/>
      <c r="J208" s="71"/>
      <c r="K208" s="72"/>
      <c r="L208" s="4"/>
      <c r="M208" s="4"/>
      <c r="N208" s="4"/>
      <c r="O208" s="4"/>
      <c r="P208" s="4"/>
      <c r="Q208" s="4"/>
    </row>
    <row r="209" customFormat="false" ht="18" hidden="false" customHeight="true" outlineLevel="0" collapsed="false">
      <c r="A209" s="63" t="str">
        <f aca="false">IF($B209="","","PG-"&amp;TEXT(ROW()-5,"0000"))</f>
        <v/>
      </c>
      <c r="B209" s="64"/>
      <c r="C209" s="65" t="str">
        <f aca="false">IF($B209="","",MONTH($B209))</f>
        <v/>
      </c>
      <c r="D209" s="66"/>
      <c r="E209" s="66"/>
      <c r="F209" s="66"/>
      <c r="G209" s="66"/>
      <c r="H209" s="66"/>
      <c r="I209" s="66"/>
      <c r="J209" s="67"/>
      <c r="K209" s="68"/>
      <c r="L209" s="4"/>
      <c r="M209" s="4"/>
      <c r="N209" s="4"/>
      <c r="O209" s="4"/>
      <c r="P209" s="4"/>
      <c r="Q209" s="4"/>
    </row>
    <row r="210" customFormat="false" ht="18" hidden="false" customHeight="true" outlineLevel="0" collapsed="false">
      <c r="A210" s="63" t="str">
        <f aca="false">IF($B210="","","PG-"&amp;TEXT(ROW()-5,"0000"))</f>
        <v/>
      </c>
      <c r="B210" s="69"/>
      <c r="C210" s="65" t="str">
        <f aca="false">IF($B210="","",MONTH($B210))</f>
        <v/>
      </c>
      <c r="D210" s="70"/>
      <c r="E210" s="70"/>
      <c r="F210" s="70"/>
      <c r="G210" s="70"/>
      <c r="H210" s="70"/>
      <c r="I210" s="70"/>
      <c r="J210" s="71"/>
      <c r="K210" s="72"/>
      <c r="L210" s="4"/>
      <c r="M210" s="4"/>
      <c r="N210" s="4"/>
      <c r="O210" s="4"/>
      <c r="P210" s="4"/>
      <c r="Q210" s="4"/>
    </row>
    <row r="211" customFormat="false" ht="18" hidden="false" customHeight="true" outlineLevel="0" collapsed="false">
      <c r="A211" s="63" t="str">
        <f aca="false">IF($B211="","","PG-"&amp;TEXT(ROW()-5,"0000"))</f>
        <v/>
      </c>
      <c r="B211" s="64"/>
      <c r="C211" s="65" t="str">
        <f aca="false">IF($B211="","",MONTH($B211))</f>
        <v/>
      </c>
      <c r="D211" s="66"/>
      <c r="E211" s="66"/>
      <c r="F211" s="66"/>
      <c r="G211" s="66"/>
      <c r="H211" s="66"/>
      <c r="I211" s="66"/>
      <c r="J211" s="67"/>
      <c r="K211" s="68"/>
      <c r="L211" s="4"/>
      <c r="M211" s="4"/>
      <c r="N211" s="4"/>
      <c r="O211" s="4"/>
      <c r="P211" s="4"/>
      <c r="Q211" s="4"/>
    </row>
    <row r="212" customFormat="false" ht="18" hidden="false" customHeight="true" outlineLevel="0" collapsed="false">
      <c r="A212" s="63" t="str">
        <f aca="false">IF($B212="","","PG-"&amp;TEXT(ROW()-5,"0000"))</f>
        <v/>
      </c>
      <c r="B212" s="69"/>
      <c r="C212" s="65" t="str">
        <f aca="false">IF($B212="","",MONTH($B212))</f>
        <v/>
      </c>
      <c r="D212" s="70"/>
      <c r="E212" s="70"/>
      <c r="F212" s="70"/>
      <c r="G212" s="70"/>
      <c r="H212" s="70"/>
      <c r="I212" s="70"/>
      <c r="J212" s="71"/>
      <c r="K212" s="72"/>
      <c r="L212" s="4"/>
      <c r="M212" s="4"/>
      <c r="N212" s="4"/>
      <c r="O212" s="4"/>
      <c r="P212" s="4"/>
      <c r="Q212" s="4"/>
    </row>
    <row r="213" customFormat="false" ht="18" hidden="false" customHeight="true" outlineLevel="0" collapsed="false">
      <c r="A213" s="63" t="str">
        <f aca="false">IF($B213="","","PG-"&amp;TEXT(ROW()-5,"0000"))</f>
        <v/>
      </c>
      <c r="B213" s="64"/>
      <c r="C213" s="65" t="str">
        <f aca="false">IF($B213="","",MONTH($B213))</f>
        <v/>
      </c>
      <c r="D213" s="66"/>
      <c r="E213" s="66"/>
      <c r="F213" s="66"/>
      <c r="G213" s="66"/>
      <c r="H213" s="66"/>
      <c r="I213" s="66"/>
      <c r="J213" s="67"/>
      <c r="K213" s="68"/>
      <c r="L213" s="4"/>
      <c r="M213" s="4"/>
      <c r="N213" s="4"/>
      <c r="O213" s="4"/>
      <c r="P213" s="4"/>
      <c r="Q213" s="4"/>
    </row>
    <row r="214" customFormat="false" ht="18" hidden="false" customHeight="true" outlineLevel="0" collapsed="false">
      <c r="A214" s="63" t="str">
        <f aca="false">IF($B214="","","PG-"&amp;TEXT(ROW()-5,"0000"))</f>
        <v/>
      </c>
      <c r="B214" s="69"/>
      <c r="C214" s="65" t="str">
        <f aca="false">IF($B214="","",MONTH($B214))</f>
        <v/>
      </c>
      <c r="D214" s="70"/>
      <c r="E214" s="70"/>
      <c r="F214" s="70"/>
      <c r="G214" s="70"/>
      <c r="H214" s="70"/>
      <c r="I214" s="70"/>
      <c r="J214" s="71"/>
      <c r="K214" s="72"/>
      <c r="L214" s="4"/>
      <c r="M214" s="4"/>
      <c r="N214" s="4"/>
      <c r="O214" s="4"/>
      <c r="P214" s="4"/>
      <c r="Q214" s="4"/>
    </row>
    <row r="215" customFormat="false" ht="18" hidden="false" customHeight="true" outlineLevel="0" collapsed="false">
      <c r="A215" s="63" t="str">
        <f aca="false">IF($B215="","","PG-"&amp;TEXT(ROW()-5,"0000"))</f>
        <v/>
      </c>
      <c r="B215" s="64"/>
      <c r="C215" s="65" t="str">
        <f aca="false">IF($B215="","",MONTH($B215))</f>
        <v/>
      </c>
      <c r="D215" s="66"/>
      <c r="E215" s="66"/>
      <c r="F215" s="66"/>
      <c r="G215" s="66"/>
      <c r="H215" s="66"/>
      <c r="I215" s="66"/>
      <c r="J215" s="67"/>
      <c r="K215" s="68"/>
      <c r="L215" s="4"/>
      <c r="M215" s="4"/>
      <c r="N215" s="4"/>
      <c r="O215" s="4"/>
      <c r="P215" s="4"/>
      <c r="Q215" s="4"/>
    </row>
    <row r="216" customFormat="false" ht="18" hidden="false" customHeight="true" outlineLevel="0" collapsed="false">
      <c r="A216" s="63" t="str">
        <f aca="false">IF($B216="","","PG-"&amp;TEXT(ROW()-5,"0000"))</f>
        <v/>
      </c>
      <c r="B216" s="69"/>
      <c r="C216" s="65" t="str">
        <f aca="false">IF($B216="","",MONTH($B216))</f>
        <v/>
      </c>
      <c r="D216" s="70"/>
      <c r="E216" s="70"/>
      <c r="F216" s="70"/>
      <c r="G216" s="70"/>
      <c r="H216" s="70"/>
      <c r="I216" s="70"/>
      <c r="J216" s="71"/>
      <c r="K216" s="72"/>
      <c r="L216" s="4"/>
      <c r="M216" s="4"/>
      <c r="N216" s="4"/>
      <c r="O216" s="4"/>
      <c r="P216" s="4"/>
      <c r="Q216" s="4"/>
    </row>
    <row r="217" customFormat="false" ht="18" hidden="false" customHeight="true" outlineLevel="0" collapsed="false">
      <c r="A217" s="63" t="str">
        <f aca="false">IF($B217="","","PG-"&amp;TEXT(ROW()-5,"0000"))</f>
        <v/>
      </c>
      <c r="B217" s="64"/>
      <c r="C217" s="65" t="str">
        <f aca="false">IF($B217="","",MONTH($B217))</f>
        <v/>
      </c>
      <c r="D217" s="66"/>
      <c r="E217" s="66"/>
      <c r="F217" s="66"/>
      <c r="G217" s="66"/>
      <c r="H217" s="66"/>
      <c r="I217" s="66"/>
      <c r="J217" s="67"/>
      <c r="K217" s="68"/>
      <c r="L217" s="4"/>
      <c r="M217" s="4"/>
      <c r="N217" s="4"/>
      <c r="O217" s="4"/>
      <c r="P217" s="4"/>
      <c r="Q217" s="4"/>
    </row>
    <row r="218" customFormat="false" ht="18" hidden="false" customHeight="true" outlineLevel="0" collapsed="false">
      <c r="A218" s="63" t="str">
        <f aca="false">IF($B218="","","PG-"&amp;TEXT(ROW()-5,"0000"))</f>
        <v/>
      </c>
      <c r="B218" s="69"/>
      <c r="C218" s="65" t="str">
        <f aca="false">IF($B218="","",MONTH($B218))</f>
        <v/>
      </c>
      <c r="D218" s="70"/>
      <c r="E218" s="70"/>
      <c r="F218" s="70"/>
      <c r="G218" s="70"/>
      <c r="H218" s="70"/>
      <c r="I218" s="70"/>
      <c r="J218" s="71"/>
      <c r="K218" s="72"/>
      <c r="L218" s="4"/>
      <c r="M218" s="4"/>
      <c r="N218" s="4"/>
      <c r="O218" s="4"/>
      <c r="P218" s="4"/>
      <c r="Q218" s="4"/>
    </row>
    <row r="219" customFormat="false" ht="18" hidden="false" customHeight="true" outlineLevel="0" collapsed="false">
      <c r="A219" s="63" t="str">
        <f aca="false">IF($B219="","","PG-"&amp;TEXT(ROW()-5,"0000"))</f>
        <v/>
      </c>
      <c r="B219" s="64"/>
      <c r="C219" s="65" t="str">
        <f aca="false">IF($B219="","",MONTH($B219))</f>
        <v/>
      </c>
      <c r="D219" s="66"/>
      <c r="E219" s="66"/>
      <c r="F219" s="66"/>
      <c r="G219" s="66"/>
      <c r="H219" s="66"/>
      <c r="I219" s="66"/>
      <c r="J219" s="67"/>
      <c r="K219" s="68"/>
      <c r="L219" s="4"/>
      <c r="M219" s="4"/>
      <c r="N219" s="4"/>
      <c r="O219" s="4"/>
      <c r="P219" s="4"/>
      <c r="Q219" s="4"/>
    </row>
    <row r="220" customFormat="false" ht="18" hidden="false" customHeight="true" outlineLevel="0" collapsed="false">
      <c r="A220" s="63" t="str">
        <f aca="false">IF($B220="","","PG-"&amp;TEXT(ROW()-5,"0000"))</f>
        <v/>
      </c>
      <c r="B220" s="69"/>
      <c r="C220" s="65" t="str">
        <f aca="false">IF($B220="","",MONTH($B220))</f>
        <v/>
      </c>
      <c r="D220" s="70"/>
      <c r="E220" s="70"/>
      <c r="F220" s="70"/>
      <c r="G220" s="70"/>
      <c r="H220" s="70"/>
      <c r="I220" s="70"/>
      <c r="J220" s="71"/>
      <c r="K220" s="72"/>
      <c r="L220" s="4"/>
      <c r="M220" s="4"/>
      <c r="N220" s="4"/>
      <c r="O220" s="4"/>
      <c r="P220" s="4"/>
      <c r="Q220" s="4"/>
    </row>
    <row r="221" customFormat="false" ht="18" hidden="false" customHeight="true" outlineLevel="0" collapsed="false">
      <c r="A221" s="63" t="str">
        <f aca="false">IF($B221="","","PG-"&amp;TEXT(ROW()-5,"0000"))</f>
        <v/>
      </c>
      <c r="B221" s="64"/>
      <c r="C221" s="65" t="str">
        <f aca="false">IF($B221="","",MONTH($B221))</f>
        <v/>
      </c>
      <c r="D221" s="66"/>
      <c r="E221" s="66"/>
      <c r="F221" s="66"/>
      <c r="G221" s="66"/>
      <c r="H221" s="66"/>
      <c r="I221" s="66"/>
      <c r="J221" s="67"/>
      <c r="K221" s="68"/>
      <c r="L221" s="4"/>
      <c r="M221" s="4"/>
      <c r="N221" s="4"/>
      <c r="O221" s="4"/>
      <c r="P221" s="4"/>
      <c r="Q221" s="4"/>
    </row>
    <row r="222" customFormat="false" ht="18" hidden="false" customHeight="true" outlineLevel="0" collapsed="false">
      <c r="A222" s="63" t="str">
        <f aca="false">IF($B222="","","PG-"&amp;TEXT(ROW()-5,"0000"))</f>
        <v/>
      </c>
      <c r="B222" s="69"/>
      <c r="C222" s="65" t="str">
        <f aca="false">IF($B222="","",MONTH($B222))</f>
        <v/>
      </c>
      <c r="D222" s="70"/>
      <c r="E222" s="70"/>
      <c r="F222" s="70"/>
      <c r="G222" s="70"/>
      <c r="H222" s="70"/>
      <c r="I222" s="70"/>
      <c r="J222" s="71"/>
      <c r="K222" s="72"/>
      <c r="L222" s="4"/>
      <c r="M222" s="4"/>
      <c r="N222" s="4"/>
      <c r="O222" s="4"/>
      <c r="P222" s="4"/>
      <c r="Q222" s="4"/>
    </row>
    <row r="223" customFormat="false" ht="18" hidden="false" customHeight="true" outlineLevel="0" collapsed="false">
      <c r="A223" s="63" t="str">
        <f aca="false">IF($B223="","","PG-"&amp;TEXT(ROW()-5,"0000"))</f>
        <v/>
      </c>
      <c r="B223" s="64"/>
      <c r="C223" s="65" t="str">
        <f aca="false">IF($B223="","",MONTH($B223))</f>
        <v/>
      </c>
      <c r="D223" s="66"/>
      <c r="E223" s="66"/>
      <c r="F223" s="66"/>
      <c r="G223" s="66"/>
      <c r="H223" s="66"/>
      <c r="I223" s="66"/>
      <c r="J223" s="67"/>
      <c r="K223" s="68"/>
      <c r="L223" s="4"/>
      <c r="M223" s="4"/>
      <c r="N223" s="4"/>
      <c r="O223" s="4"/>
      <c r="P223" s="4"/>
      <c r="Q223" s="4"/>
    </row>
    <row r="224" customFormat="false" ht="18" hidden="false" customHeight="true" outlineLevel="0" collapsed="false">
      <c r="A224" s="63" t="str">
        <f aca="false">IF($B224="","","PG-"&amp;TEXT(ROW()-5,"0000"))</f>
        <v/>
      </c>
      <c r="B224" s="69"/>
      <c r="C224" s="65" t="str">
        <f aca="false">IF($B224="","",MONTH($B224))</f>
        <v/>
      </c>
      <c r="D224" s="70"/>
      <c r="E224" s="70"/>
      <c r="F224" s="70"/>
      <c r="G224" s="70"/>
      <c r="H224" s="70"/>
      <c r="I224" s="70"/>
      <c r="J224" s="71"/>
      <c r="K224" s="72"/>
      <c r="L224" s="4"/>
      <c r="M224" s="4"/>
      <c r="N224" s="4"/>
      <c r="O224" s="4"/>
      <c r="P224" s="4"/>
      <c r="Q224" s="4"/>
    </row>
    <row r="225" customFormat="false" ht="18" hidden="false" customHeight="true" outlineLevel="0" collapsed="false">
      <c r="A225" s="63" t="str">
        <f aca="false">IF($B225="","","PG-"&amp;TEXT(ROW()-5,"0000"))</f>
        <v/>
      </c>
      <c r="B225" s="64"/>
      <c r="C225" s="65" t="str">
        <f aca="false">IF($B225="","",MONTH($B225))</f>
        <v/>
      </c>
      <c r="D225" s="66"/>
      <c r="E225" s="66"/>
      <c r="F225" s="66"/>
      <c r="G225" s="66"/>
      <c r="H225" s="66"/>
      <c r="I225" s="66"/>
      <c r="J225" s="67"/>
      <c r="K225" s="68"/>
      <c r="L225" s="4"/>
      <c r="M225" s="4"/>
      <c r="N225" s="4"/>
      <c r="O225" s="4"/>
      <c r="P225" s="4"/>
      <c r="Q225" s="4"/>
    </row>
    <row r="226" customFormat="false" ht="18" hidden="false" customHeight="true" outlineLevel="0" collapsed="false">
      <c r="A226" s="63" t="str">
        <f aca="false">IF($B226="","","PG-"&amp;TEXT(ROW()-5,"0000"))</f>
        <v/>
      </c>
      <c r="B226" s="69"/>
      <c r="C226" s="65" t="str">
        <f aca="false">IF($B226="","",MONTH($B226))</f>
        <v/>
      </c>
      <c r="D226" s="70"/>
      <c r="E226" s="70"/>
      <c r="F226" s="70"/>
      <c r="G226" s="70"/>
      <c r="H226" s="70"/>
      <c r="I226" s="70"/>
      <c r="J226" s="71"/>
      <c r="K226" s="72"/>
      <c r="L226" s="4"/>
      <c r="M226" s="4"/>
      <c r="N226" s="4"/>
      <c r="O226" s="4"/>
      <c r="P226" s="4"/>
      <c r="Q226" s="4"/>
    </row>
    <row r="227" customFormat="false" ht="18" hidden="false" customHeight="true" outlineLevel="0" collapsed="false">
      <c r="A227" s="63" t="str">
        <f aca="false">IF($B227="","","PG-"&amp;TEXT(ROW()-5,"0000"))</f>
        <v/>
      </c>
      <c r="B227" s="64"/>
      <c r="C227" s="65" t="str">
        <f aca="false">IF($B227="","",MONTH($B227))</f>
        <v/>
      </c>
      <c r="D227" s="66"/>
      <c r="E227" s="66"/>
      <c r="F227" s="66"/>
      <c r="G227" s="66"/>
      <c r="H227" s="66"/>
      <c r="I227" s="66"/>
      <c r="J227" s="67"/>
      <c r="K227" s="68"/>
      <c r="L227" s="4"/>
      <c r="M227" s="4"/>
      <c r="N227" s="4"/>
      <c r="O227" s="4"/>
      <c r="P227" s="4"/>
      <c r="Q227" s="4"/>
    </row>
    <row r="228" customFormat="false" ht="18" hidden="false" customHeight="true" outlineLevel="0" collapsed="false">
      <c r="A228" s="63" t="str">
        <f aca="false">IF($B228="","","PG-"&amp;TEXT(ROW()-5,"0000"))</f>
        <v/>
      </c>
      <c r="B228" s="69"/>
      <c r="C228" s="65" t="str">
        <f aca="false">IF($B228="","",MONTH($B228))</f>
        <v/>
      </c>
      <c r="D228" s="70"/>
      <c r="E228" s="70"/>
      <c r="F228" s="70"/>
      <c r="G228" s="70"/>
      <c r="H228" s="70"/>
      <c r="I228" s="70"/>
      <c r="J228" s="71"/>
      <c r="K228" s="72"/>
      <c r="L228" s="4"/>
      <c r="M228" s="4"/>
      <c r="N228" s="4"/>
      <c r="O228" s="4"/>
      <c r="P228" s="4"/>
      <c r="Q228" s="4"/>
    </row>
    <row r="229" customFormat="false" ht="18" hidden="false" customHeight="true" outlineLevel="0" collapsed="false">
      <c r="A229" s="63" t="str">
        <f aca="false">IF($B229="","","PG-"&amp;TEXT(ROW()-5,"0000"))</f>
        <v/>
      </c>
      <c r="B229" s="64"/>
      <c r="C229" s="65" t="str">
        <f aca="false">IF($B229="","",MONTH($B229))</f>
        <v/>
      </c>
      <c r="D229" s="66"/>
      <c r="E229" s="66"/>
      <c r="F229" s="66"/>
      <c r="G229" s="66"/>
      <c r="H229" s="66"/>
      <c r="I229" s="66"/>
      <c r="J229" s="67"/>
      <c r="K229" s="68"/>
      <c r="L229" s="4"/>
      <c r="M229" s="4"/>
      <c r="N229" s="4"/>
      <c r="O229" s="4"/>
      <c r="P229" s="4"/>
      <c r="Q229" s="4"/>
    </row>
    <row r="230" customFormat="false" ht="18" hidden="false" customHeight="true" outlineLevel="0" collapsed="false">
      <c r="A230" s="63" t="str">
        <f aca="false">IF($B230="","","PG-"&amp;TEXT(ROW()-5,"0000"))</f>
        <v/>
      </c>
      <c r="B230" s="69"/>
      <c r="C230" s="65" t="str">
        <f aca="false">IF($B230="","",MONTH($B230))</f>
        <v/>
      </c>
      <c r="D230" s="70"/>
      <c r="E230" s="70"/>
      <c r="F230" s="70"/>
      <c r="G230" s="70"/>
      <c r="H230" s="70"/>
      <c r="I230" s="70"/>
      <c r="J230" s="71"/>
      <c r="K230" s="72"/>
      <c r="L230" s="4"/>
      <c r="M230" s="4"/>
      <c r="N230" s="4"/>
      <c r="O230" s="4"/>
      <c r="P230" s="4"/>
      <c r="Q230" s="4"/>
    </row>
    <row r="231" customFormat="false" ht="18" hidden="false" customHeight="true" outlineLevel="0" collapsed="false">
      <c r="A231" s="63" t="str">
        <f aca="false">IF($B231="","","PG-"&amp;TEXT(ROW()-5,"0000"))</f>
        <v/>
      </c>
      <c r="B231" s="64"/>
      <c r="C231" s="65" t="str">
        <f aca="false">IF($B231="","",MONTH($B231))</f>
        <v/>
      </c>
      <c r="D231" s="66"/>
      <c r="E231" s="66"/>
      <c r="F231" s="66"/>
      <c r="G231" s="66"/>
      <c r="H231" s="66"/>
      <c r="I231" s="66"/>
      <c r="J231" s="67"/>
      <c r="K231" s="68"/>
      <c r="L231" s="4"/>
      <c r="M231" s="4"/>
      <c r="N231" s="4"/>
      <c r="O231" s="4"/>
      <c r="P231" s="4"/>
      <c r="Q231" s="4"/>
    </row>
    <row r="232" customFormat="false" ht="18" hidden="false" customHeight="true" outlineLevel="0" collapsed="false">
      <c r="A232" s="63" t="str">
        <f aca="false">IF($B232="","","PG-"&amp;TEXT(ROW()-5,"0000"))</f>
        <v/>
      </c>
      <c r="B232" s="69"/>
      <c r="C232" s="65" t="str">
        <f aca="false">IF($B232="","",MONTH($B232))</f>
        <v/>
      </c>
      <c r="D232" s="70"/>
      <c r="E232" s="70"/>
      <c r="F232" s="70"/>
      <c r="G232" s="70"/>
      <c r="H232" s="70"/>
      <c r="I232" s="70"/>
      <c r="J232" s="71"/>
      <c r="K232" s="72"/>
      <c r="L232" s="4"/>
      <c r="M232" s="4"/>
      <c r="N232" s="4"/>
      <c r="O232" s="4"/>
      <c r="P232" s="4"/>
      <c r="Q232" s="4"/>
    </row>
    <row r="233" customFormat="false" ht="18" hidden="false" customHeight="true" outlineLevel="0" collapsed="false">
      <c r="A233" s="63" t="str">
        <f aca="false">IF($B233="","","PG-"&amp;TEXT(ROW()-5,"0000"))</f>
        <v/>
      </c>
      <c r="B233" s="64"/>
      <c r="C233" s="65" t="str">
        <f aca="false">IF($B233="","",MONTH($B233))</f>
        <v/>
      </c>
      <c r="D233" s="66"/>
      <c r="E233" s="66"/>
      <c r="F233" s="66"/>
      <c r="G233" s="66"/>
      <c r="H233" s="66"/>
      <c r="I233" s="66"/>
      <c r="J233" s="67"/>
      <c r="K233" s="68"/>
      <c r="L233" s="4"/>
      <c r="M233" s="4"/>
      <c r="N233" s="4"/>
      <c r="O233" s="4"/>
      <c r="P233" s="4"/>
      <c r="Q233" s="4"/>
    </row>
    <row r="234" customFormat="false" ht="18" hidden="false" customHeight="true" outlineLevel="0" collapsed="false">
      <c r="A234" s="63" t="str">
        <f aca="false">IF($B234="","","PG-"&amp;TEXT(ROW()-5,"0000"))</f>
        <v/>
      </c>
      <c r="B234" s="69"/>
      <c r="C234" s="65" t="str">
        <f aca="false">IF($B234="","",MONTH($B234))</f>
        <v/>
      </c>
      <c r="D234" s="70"/>
      <c r="E234" s="70"/>
      <c r="F234" s="70"/>
      <c r="G234" s="70"/>
      <c r="H234" s="70"/>
      <c r="I234" s="70"/>
      <c r="J234" s="71"/>
      <c r="K234" s="72"/>
      <c r="L234" s="4"/>
      <c r="M234" s="4"/>
      <c r="N234" s="4"/>
      <c r="O234" s="4"/>
      <c r="P234" s="4"/>
      <c r="Q234" s="4"/>
    </row>
    <row r="235" customFormat="false" ht="18" hidden="false" customHeight="true" outlineLevel="0" collapsed="false">
      <c r="A235" s="63" t="str">
        <f aca="false">IF($B235="","","PG-"&amp;TEXT(ROW()-5,"0000"))</f>
        <v/>
      </c>
      <c r="B235" s="64"/>
      <c r="C235" s="65" t="str">
        <f aca="false">IF($B235="","",MONTH($B235))</f>
        <v/>
      </c>
      <c r="D235" s="66"/>
      <c r="E235" s="66"/>
      <c r="F235" s="66"/>
      <c r="G235" s="66"/>
      <c r="H235" s="66"/>
      <c r="I235" s="66"/>
      <c r="J235" s="67"/>
      <c r="K235" s="68"/>
      <c r="L235" s="4"/>
      <c r="M235" s="4"/>
      <c r="N235" s="4"/>
      <c r="O235" s="4"/>
      <c r="P235" s="4"/>
      <c r="Q235" s="4"/>
    </row>
    <row r="236" customFormat="false" ht="18" hidden="false" customHeight="true" outlineLevel="0" collapsed="false">
      <c r="A236" s="63" t="str">
        <f aca="false">IF($B236="","","PG-"&amp;TEXT(ROW()-5,"0000"))</f>
        <v/>
      </c>
      <c r="B236" s="69"/>
      <c r="C236" s="65" t="str">
        <f aca="false">IF($B236="","",MONTH($B236))</f>
        <v/>
      </c>
      <c r="D236" s="70"/>
      <c r="E236" s="70"/>
      <c r="F236" s="70"/>
      <c r="G236" s="70"/>
      <c r="H236" s="70"/>
      <c r="I236" s="70"/>
      <c r="J236" s="71"/>
      <c r="K236" s="72"/>
      <c r="L236" s="4"/>
      <c r="M236" s="4"/>
      <c r="N236" s="4"/>
      <c r="O236" s="4"/>
      <c r="P236" s="4"/>
      <c r="Q236" s="4"/>
    </row>
    <row r="237" customFormat="false" ht="18" hidden="false" customHeight="true" outlineLevel="0" collapsed="false">
      <c r="A237" s="63" t="str">
        <f aca="false">IF($B237="","","PG-"&amp;TEXT(ROW()-5,"0000"))</f>
        <v/>
      </c>
      <c r="B237" s="64"/>
      <c r="C237" s="65" t="str">
        <f aca="false">IF($B237="","",MONTH($B237))</f>
        <v/>
      </c>
      <c r="D237" s="66"/>
      <c r="E237" s="66"/>
      <c r="F237" s="66"/>
      <c r="G237" s="66"/>
      <c r="H237" s="66"/>
      <c r="I237" s="66"/>
      <c r="J237" s="67"/>
      <c r="K237" s="68"/>
      <c r="L237" s="4"/>
      <c r="M237" s="4"/>
      <c r="N237" s="4"/>
      <c r="O237" s="4"/>
      <c r="P237" s="4"/>
      <c r="Q237" s="4"/>
    </row>
    <row r="238" customFormat="false" ht="18" hidden="false" customHeight="true" outlineLevel="0" collapsed="false">
      <c r="A238" s="63" t="str">
        <f aca="false">IF($B238="","","PG-"&amp;TEXT(ROW()-5,"0000"))</f>
        <v/>
      </c>
      <c r="B238" s="69"/>
      <c r="C238" s="65" t="str">
        <f aca="false">IF($B238="","",MONTH($B238))</f>
        <v/>
      </c>
      <c r="D238" s="70"/>
      <c r="E238" s="70"/>
      <c r="F238" s="70"/>
      <c r="G238" s="70"/>
      <c r="H238" s="70"/>
      <c r="I238" s="70"/>
      <c r="J238" s="71"/>
      <c r="K238" s="72"/>
      <c r="L238" s="4"/>
      <c r="M238" s="4"/>
      <c r="N238" s="4"/>
      <c r="O238" s="4"/>
      <c r="P238" s="4"/>
      <c r="Q238" s="4"/>
    </row>
    <row r="239" customFormat="false" ht="18" hidden="false" customHeight="true" outlineLevel="0" collapsed="false">
      <c r="A239" s="63" t="str">
        <f aca="false">IF($B239="","","PG-"&amp;TEXT(ROW()-5,"0000"))</f>
        <v/>
      </c>
      <c r="B239" s="64"/>
      <c r="C239" s="65" t="str">
        <f aca="false">IF($B239="","",MONTH($B239))</f>
        <v/>
      </c>
      <c r="D239" s="66"/>
      <c r="E239" s="66"/>
      <c r="F239" s="66"/>
      <c r="G239" s="66"/>
      <c r="H239" s="66"/>
      <c r="I239" s="66"/>
      <c r="J239" s="67"/>
      <c r="K239" s="68"/>
      <c r="L239" s="4"/>
      <c r="M239" s="4"/>
      <c r="N239" s="4"/>
      <c r="O239" s="4"/>
      <c r="P239" s="4"/>
      <c r="Q239" s="4"/>
    </row>
    <row r="240" customFormat="false" ht="18" hidden="false" customHeight="true" outlineLevel="0" collapsed="false">
      <c r="A240" s="63" t="str">
        <f aca="false">IF($B240="","","PG-"&amp;TEXT(ROW()-5,"0000"))</f>
        <v/>
      </c>
      <c r="B240" s="69"/>
      <c r="C240" s="65" t="str">
        <f aca="false">IF($B240="","",MONTH($B240))</f>
        <v/>
      </c>
      <c r="D240" s="70"/>
      <c r="E240" s="70"/>
      <c r="F240" s="70"/>
      <c r="G240" s="70"/>
      <c r="H240" s="70"/>
      <c r="I240" s="70"/>
      <c r="J240" s="71"/>
      <c r="K240" s="72"/>
      <c r="L240" s="4"/>
      <c r="M240" s="4"/>
      <c r="N240" s="4"/>
      <c r="O240" s="4"/>
      <c r="P240" s="4"/>
      <c r="Q240" s="4"/>
    </row>
    <row r="241" customFormat="false" ht="18" hidden="false" customHeight="true" outlineLevel="0" collapsed="false">
      <c r="A241" s="63" t="str">
        <f aca="false">IF($B241="","","PG-"&amp;TEXT(ROW()-5,"0000"))</f>
        <v/>
      </c>
      <c r="B241" s="64"/>
      <c r="C241" s="65" t="str">
        <f aca="false">IF($B241="","",MONTH($B241))</f>
        <v/>
      </c>
      <c r="D241" s="66"/>
      <c r="E241" s="66"/>
      <c r="F241" s="66"/>
      <c r="G241" s="66"/>
      <c r="H241" s="66"/>
      <c r="I241" s="66"/>
      <c r="J241" s="67"/>
      <c r="K241" s="68"/>
      <c r="L241" s="4"/>
      <c r="M241" s="4"/>
      <c r="N241" s="4"/>
      <c r="O241" s="4"/>
      <c r="P241" s="4"/>
      <c r="Q241" s="4"/>
    </row>
    <row r="242" customFormat="false" ht="18" hidden="false" customHeight="true" outlineLevel="0" collapsed="false">
      <c r="A242" s="63" t="str">
        <f aca="false">IF($B242="","","PG-"&amp;TEXT(ROW()-5,"0000"))</f>
        <v/>
      </c>
      <c r="B242" s="69"/>
      <c r="C242" s="65" t="str">
        <f aca="false">IF($B242="","",MONTH($B242))</f>
        <v/>
      </c>
      <c r="D242" s="70"/>
      <c r="E242" s="70"/>
      <c r="F242" s="70"/>
      <c r="G242" s="70"/>
      <c r="H242" s="70"/>
      <c r="I242" s="70"/>
      <c r="J242" s="71"/>
      <c r="K242" s="72"/>
      <c r="L242" s="4"/>
      <c r="M242" s="4"/>
      <c r="N242" s="4"/>
      <c r="O242" s="4"/>
      <c r="P242" s="4"/>
      <c r="Q242" s="4"/>
    </row>
    <row r="243" customFormat="false" ht="18" hidden="false" customHeight="true" outlineLevel="0" collapsed="false">
      <c r="A243" s="63" t="str">
        <f aca="false">IF($B243="","","PG-"&amp;TEXT(ROW()-5,"0000"))</f>
        <v/>
      </c>
      <c r="B243" s="64"/>
      <c r="C243" s="65" t="str">
        <f aca="false">IF($B243="","",MONTH($B243))</f>
        <v/>
      </c>
      <c r="D243" s="66"/>
      <c r="E243" s="66"/>
      <c r="F243" s="66"/>
      <c r="G243" s="66"/>
      <c r="H243" s="66"/>
      <c r="I243" s="66"/>
      <c r="J243" s="67"/>
      <c r="K243" s="68"/>
      <c r="L243" s="4"/>
      <c r="M243" s="4"/>
      <c r="N243" s="4"/>
      <c r="O243" s="4"/>
      <c r="P243" s="4"/>
      <c r="Q243" s="4"/>
    </row>
    <row r="244" customFormat="false" ht="18" hidden="false" customHeight="true" outlineLevel="0" collapsed="false">
      <c r="A244" s="63" t="str">
        <f aca="false">IF($B244="","","PG-"&amp;TEXT(ROW()-5,"0000"))</f>
        <v/>
      </c>
      <c r="B244" s="69"/>
      <c r="C244" s="65" t="str">
        <f aca="false">IF($B244="","",MONTH($B244))</f>
        <v/>
      </c>
      <c r="D244" s="70"/>
      <c r="E244" s="70"/>
      <c r="F244" s="70"/>
      <c r="G244" s="70"/>
      <c r="H244" s="70"/>
      <c r="I244" s="70"/>
      <c r="J244" s="71"/>
      <c r="K244" s="72"/>
      <c r="L244" s="4"/>
      <c r="M244" s="4"/>
      <c r="N244" s="4"/>
      <c r="O244" s="4"/>
      <c r="P244" s="4"/>
      <c r="Q244" s="4"/>
    </row>
    <row r="245" customFormat="false" ht="18" hidden="false" customHeight="true" outlineLevel="0" collapsed="false">
      <c r="A245" s="63" t="str">
        <f aca="false">IF($B245="","","PG-"&amp;TEXT(ROW()-5,"0000"))</f>
        <v/>
      </c>
      <c r="B245" s="64"/>
      <c r="C245" s="65" t="str">
        <f aca="false">IF($B245="","",MONTH($B245))</f>
        <v/>
      </c>
      <c r="D245" s="66"/>
      <c r="E245" s="66"/>
      <c r="F245" s="66"/>
      <c r="G245" s="66"/>
      <c r="H245" s="66"/>
      <c r="I245" s="66"/>
      <c r="J245" s="67"/>
      <c r="K245" s="68"/>
      <c r="L245" s="4"/>
      <c r="M245" s="4"/>
      <c r="N245" s="4"/>
      <c r="O245" s="4"/>
      <c r="P245" s="4"/>
      <c r="Q245" s="4"/>
    </row>
    <row r="246" customFormat="false" ht="18" hidden="false" customHeight="true" outlineLevel="0" collapsed="false">
      <c r="A246" s="63" t="str">
        <f aca="false">IF($B246="","","PG-"&amp;TEXT(ROW()-5,"0000"))</f>
        <v/>
      </c>
      <c r="B246" s="69"/>
      <c r="C246" s="65" t="str">
        <f aca="false">IF($B246="","",MONTH($B246))</f>
        <v/>
      </c>
      <c r="D246" s="70"/>
      <c r="E246" s="70"/>
      <c r="F246" s="70"/>
      <c r="G246" s="70"/>
      <c r="H246" s="70"/>
      <c r="I246" s="70"/>
      <c r="J246" s="71"/>
      <c r="K246" s="72"/>
      <c r="L246" s="4"/>
      <c r="M246" s="4"/>
      <c r="N246" s="4"/>
      <c r="O246" s="4"/>
      <c r="P246" s="4"/>
      <c r="Q246" s="4"/>
    </row>
    <row r="247" customFormat="false" ht="18" hidden="false" customHeight="true" outlineLevel="0" collapsed="false">
      <c r="A247" s="63" t="str">
        <f aca="false">IF($B247="","","PG-"&amp;TEXT(ROW()-5,"0000"))</f>
        <v/>
      </c>
      <c r="B247" s="64"/>
      <c r="C247" s="65" t="str">
        <f aca="false">IF($B247="","",MONTH($B247))</f>
        <v/>
      </c>
      <c r="D247" s="66"/>
      <c r="E247" s="66"/>
      <c r="F247" s="66"/>
      <c r="G247" s="66"/>
      <c r="H247" s="66"/>
      <c r="I247" s="66"/>
      <c r="J247" s="67"/>
      <c r="K247" s="68"/>
      <c r="L247" s="4"/>
      <c r="M247" s="4"/>
      <c r="N247" s="4"/>
      <c r="O247" s="4"/>
      <c r="P247" s="4"/>
      <c r="Q247" s="4"/>
    </row>
    <row r="248" customFormat="false" ht="18" hidden="false" customHeight="true" outlineLevel="0" collapsed="false">
      <c r="A248" s="63" t="str">
        <f aca="false">IF($B248="","","PG-"&amp;TEXT(ROW()-5,"0000"))</f>
        <v/>
      </c>
      <c r="B248" s="69"/>
      <c r="C248" s="65" t="str">
        <f aca="false">IF($B248="","",MONTH($B248))</f>
        <v/>
      </c>
      <c r="D248" s="70"/>
      <c r="E248" s="70"/>
      <c r="F248" s="70"/>
      <c r="G248" s="70"/>
      <c r="H248" s="70"/>
      <c r="I248" s="70"/>
      <c r="J248" s="71"/>
      <c r="K248" s="72"/>
      <c r="L248" s="4"/>
      <c r="M248" s="4"/>
      <c r="N248" s="4"/>
      <c r="O248" s="4"/>
      <c r="P248" s="4"/>
      <c r="Q248" s="4"/>
    </row>
    <row r="249" customFormat="false" ht="18" hidden="false" customHeight="true" outlineLevel="0" collapsed="false">
      <c r="A249" s="63" t="str">
        <f aca="false">IF($B249="","","PG-"&amp;TEXT(ROW()-5,"0000"))</f>
        <v/>
      </c>
      <c r="B249" s="64"/>
      <c r="C249" s="65" t="str">
        <f aca="false">IF($B249="","",MONTH($B249))</f>
        <v/>
      </c>
      <c r="D249" s="66"/>
      <c r="E249" s="66"/>
      <c r="F249" s="66"/>
      <c r="G249" s="66"/>
      <c r="H249" s="66"/>
      <c r="I249" s="66"/>
      <c r="J249" s="67"/>
      <c r="K249" s="68"/>
      <c r="L249" s="4"/>
      <c r="M249" s="4"/>
      <c r="N249" s="4"/>
      <c r="O249" s="4"/>
      <c r="P249" s="4"/>
      <c r="Q249" s="4"/>
    </row>
    <row r="250" customFormat="false" ht="18" hidden="false" customHeight="true" outlineLevel="0" collapsed="false">
      <c r="A250" s="63" t="str">
        <f aca="false">IF($B250="","","PG-"&amp;TEXT(ROW()-5,"0000"))</f>
        <v/>
      </c>
      <c r="B250" s="69"/>
      <c r="C250" s="65" t="str">
        <f aca="false">IF($B250="","",MONTH($B250))</f>
        <v/>
      </c>
      <c r="D250" s="70"/>
      <c r="E250" s="70"/>
      <c r="F250" s="70"/>
      <c r="G250" s="70"/>
      <c r="H250" s="70"/>
      <c r="I250" s="70"/>
      <c r="J250" s="71"/>
      <c r="K250" s="72"/>
      <c r="L250" s="4"/>
      <c r="M250" s="4"/>
      <c r="N250" s="4"/>
      <c r="O250" s="4"/>
      <c r="P250" s="4"/>
      <c r="Q250" s="4"/>
    </row>
    <row r="251" customFormat="false" ht="18" hidden="false" customHeight="true" outlineLevel="0" collapsed="false">
      <c r="A251" s="63" t="str">
        <f aca="false">IF($B251="","","PG-"&amp;TEXT(ROW()-5,"0000"))</f>
        <v/>
      </c>
      <c r="B251" s="64"/>
      <c r="C251" s="65" t="str">
        <f aca="false">IF($B251="","",MONTH($B251))</f>
        <v/>
      </c>
      <c r="D251" s="66"/>
      <c r="E251" s="66"/>
      <c r="F251" s="66"/>
      <c r="G251" s="66"/>
      <c r="H251" s="66"/>
      <c r="I251" s="66"/>
      <c r="J251" s="67"/>
      <c r="K251" s="68"/>
      <c r="L251" s="4"/>
      <c r="M251" s="4"/>
      <c r="N251" s="4"/>
      <c r="O251" s="4"/>
      <c r="P251" s="4"/>
      <c r="Q251" s="4"/>
    </row>
    <row r="252" customFormat="false" ht="18" hidden="false" customHeight="true" outlineLevel="0" collapsed="false">
      <c r="A252" s="63" t="str">
        <f aca="false">IF($B252="","","PG-"&amp;TEXT(ROW()-5,"0000"))</f>
        <v/>
      </c>
      <c r="B252" s="69"/>
      <c r="C252" s="65" t="str">
        <f aca="false">IF($B252="","",MONTH($B252))</f>
        <v/>
      </c>
      <c r="D252" s="70"/>
      <c r="E252" s="70"/>
      <c r="F252" s="70"/>
      <c r="G252" s="70"/>
      <c r="H252" s="70"/>
      <c r="I252" s="70"/>
      <c r="J252" s="71"/>
      <c r="K252" s="72"/>
      <c r="L252" s="4"/>
      <c r="M252" s="4"/>
      <c r="N252" s="4"/>
      <c r="O252" s="4"/>
      <c r="P252" s="4"/>
      <c r="Q252" s="4"/>
    </row>
    <row r="253" customFormat="false" ht="18" hidden="false" customHeight="true" outlineLevel="0" collapsed="false">
      <c r="A253" s="63" t="str">
        <f aca="false">IF($B253="","","PG-"&amp;TEXT(ROW()-5,"0000"))</f>
        <v/>
      </c>
      <c r="B253" s="64"/>
      <c r="C253" s="65" t="str">
        <f aca="false">IF($B253="","",MONTH($B253))</f>
        <v/>
      </c>
      <c r="D253" s="66"/>
      <c r="E253" s="66"/>
      <c r="F253" s="66"/>
      <c r="G253" s="66"/>
      <c r="H253" s="66"/>
      <c r="I253" s="66"/>
      <c r="J253" s="67"/>
      <c r="K253" s="68"/>
      <c r="L253" s="4"/>
      <c r="M253" s="4"/>
      <c r="N253" s="4"/>
      <c r="O253" s="4"/>
      <c r="P253" s="4"/>
      <c r="Q253" s="4"/>
    </row>
    <row r="254" customFormat="false" ht="18" hidden="false" customHeight="true" outlineLevel="0" collapsed="false">
      <c r="A254" s="63" t="str">
        <f aca="false">IF($B254="","","PG-"&amp;TEXT(ROW()-5,"0000"))</f>
        <v/>
      </c>
      <c r="B254" s="69"/>
      <c r="C254" s="65" t="str">
        <f aca="false">IF($B254="","",MONTH($B254))</f>
        <v/>
      </c>
      <c r="D254" s="70"/>
      <c r="E254" s="70"/>
      <c r="F254" s="70"/>
      <c r="G254" s="70"/>
      <c r="H254" s="70"/>
      <c r="I254" s="70"/>
      <c r="J254" s="71"/>
      <c r="K254" s="72"/>
      <c r="L254" s="4"/>
      <c r="M254" s="4"/>
      <c r="N254" s="4"/>
      <c r="O254" s="4"/>
      <c r="P254" s="4"/>
      <c r="Q254" s="4"/>
    </row>
    <row r="255" customFormat="false" ht="18" hidden="false" customHeight="true" outlineLevel="0" collapsed="false">
      <c r="A255" s="63" t="str">
        <f aca="false">IF($B255="","","PG-"&amp;TEXT(ROW()-5,"0000"))</f>
        <v/>
      </c>
      <c r="B255" s="64"/>
      <c r="C255" s="65" t="str">
        <f aca="false">IF($B255="","",MONTH($B255))</f>
        <v/>
      </c>
      <c r="D255" s="66"/>
      <c r="E255" s="66"/>
      <c r="F255" s="66"/>
      <c r="G255" s="66"/>
      <c r="H255" s="66"/>
      <c r="I255" s="66"/>
      <c r="J255" s="67"/>
      <c r="K255" s="68"/>
      <c r="L255" s="4"/>
      <c r="M255" s="4"/>
      <c r="N255" s="4"/>
      <c r="O255" s="4"/>
      <c r="P255" s="4"/>
      <c r="Q255" s="4"/>
    </row>
    <row r="256" customFormat="false" ht="18" hidden="false" customHeight="true" outlineLevel="0" collapsed="false">
      <c r="A256" s="63" t="str">
        <f aca="false">IF($B256="","","PG-"&amp;TEXT(ROW()-5,"0000"))</f>
        <v/>
      </c>
      <c r="B256" s="69"/>
      <c r="C256" s="65" t="str">
        <f aca="false">IF($B256="","",MONTH($B256))</f>
        <v/>
      </c>
      <c r="D256" s="70"/>
      <c r="E256" s="70"/>
      <c r="F256" s="70"/>
      <c r="G256" s="70"/>
      <c r="H256" s="70"/>
      <c r="I256" s="70"/>
      <c r="J256" s="71"/>
      <c r="K256" s="72"/>
      <c r="L256" s="4"/>
      <c r="M256" s="4"/>
      <c r="N256" s="4"/>
      <c r="O256" s="4"/>
      <c r="P256" s="4"/>
      <c r="Q256" s="4"/>
    </row>
    <row r="257" customFormat="false" ht="18" hidden="false" customHeight="true" outlineLevel="0" collapsed="false">
      <c r="A257" s="63" t="str">
        <f aca="false">IF($B257="","","PG-"&amp;TEXT(ROW()-5,"0000"))</f>
        <v/>
      </c>
      <c r="B257" s="64"/>
      <c r="C257" s="65" t="str">
        <f aca="false">IF($B257="","",MONTH($B257))</f>
        <v/>
      </c>
      <c r="D257" s="66"/>
      <c r="E257" s="66"/>
      <c r="F257" s="66"/>
      <c r="G257" s="66"/>
      <c r="H257" s="66"/>
      <c r="I257" s="66"/>
      <c r="J257" s="67"/>
      <c r="K257" s="68"/>
      <c r="L257" s="4"/>
      <c r="M257" s="4"/>
      <c r="N257" s="4"/>
      <c r="O257" s="4"/>
      <c r="P257" s="4"/>
      <c r="Q257" s="4"/>
    </row>
    <row r="258" customFormat="false" ht="18" hidden="false" customHeight="true" outlineLevel="0" collapsed="false">
      <c r="A258" s="63" t="str">
        <f aca="false">IF($B258="","","PG-"&amp;TEXT(ROW()-5,"0000"))</f>
        <v/>
      </c>
      <c r="B258" s="69"/>
      <c r="C258" s="65" t="str">
        <f aca="false">IF($B258="","",MONTH($B258))</f>
        <v/>
      </c>
      <c r="D258" s="70"/>
      <c r="E258" s="70"/>
      <c r="F258" s="70"/>
      <c r="G258" s="70"/>
      <c r="H258" s="70"/>
      <c r="I258" s="70"/>
      <c r="J258" s="71"/>
      <c r="K258" s="72"/>
      <c r="L258" s="4"/>
      <c r="M258" s="4"/>
      <c r="N258" s="4"/>
      <c r="O258" s="4"/>
      <c r="P258" s="4"/>
      <c r="Q258" s="4"/>
    </row>
    <row r="259" customFormat="false" ht="18" hidden="false" customHeight="true" outlineLevel="0" collapsed="false">
      <c r="A259" s="63" t="str">
        <f aca="false">IF($B259="","","PG-"&amp;TEXT(ROW()-5,"0000"))</f>
        <v/>
      </c>
      <c r="B259" s="64"/>
      <c r="C259" s="65" t="str">
        <f aca="false">IF($B259="","",MONTH($B259))</f>
        <v/>
      </c>
      <c r="D259" s="66"/>
      <c r="E259" s="66"/>
      <c r="F259" s="66"/>
      <c r="G259" s="66"/>
      <c r="H259" s="66"/>
      <c r="I259" s="66"/>
      <c r="J259" s="67"/>
      <c r="K259" s="68"/>
      <c r="L259" s="4"/>
      <c r="M259" s="4"/>
      <c r="N259" s="4"/>
      <c r="O259" s="4"/>
      <c r="P259" s="4"/>
      <c r="Q259" s="4"/>
    </row>
    <row r="260" customFormat="false" ht="18" hidden="false" customHeight="true" outlineLevel="0" collapsed="false">
      <c r="A260" s="63" t="str">
        <f aca="false">IF($B260="","","PG-"&amp;TEXT(ROW()-5,"0000"))</f>
        <v/>
      </c>
      <c r="B260" s="69"/>
      <c r="C260" s="65" t="str">
        <f aca="false">IF($B260="","",MONTH($B260))</f>
        <v/>
      </c>
      <c r="D260" s="70"/>
      <c r="E260" s="70"/>
      <c r="F260" s="70"/>
      <c r="G260" s="70"/>
      <c r="H260" s="70"/>
      <c r="I260" s="70"/>
      <c r="J260" s="71"/>
      <c r="K260" s="72"/>
      <c r="L260" s="4"/>
      <c r="M260" s="4"/>
      <c r="N260" s="4"/>
      <c r="O260" s="4"/>
      <c r="P260" s="4"/>
      <c r="Q260" s="4"/>
    </row>
    <row r="261" customFormat="false" ht="18" hidden="false" customHeight="true" outlineLevel="0" collapsed="false">
      <c r="A261" s="63" t="str">
        <f aca="false">IF($B261="","","PG-"&amp;TEXT(ROW()-5,"0000"))</f>
        <v/>
      </c>
      <c r="B261" s="64"/>
      <c r="C261" s="65" t="str">
        <f aca="false">IF($B261="","",MONTH($B261))</f>
        <v/>
      </c>
      <c r="D261" s="66"/>
      <c r="E261" s="66"/>
      <c r="F261" s="66"/>
      <c r="G261" s="66"/>
      <c r="H261" s="66"/>
      <c r="I261" s="66"/>
      <c r="J261" s="67"/>
      <c r="K261" s="68"/>
      <c r="L261" s="4"/>
      <c r="M261" s="4"/>
      <c r="N261" s="4"/>
      <c r="O261" s="4"/>
      <c r="P261" s="4"/>
      <c r="Q261" s="4"/>
    </row>
    <row r="262" customFormat="false" ht="18" hidden="false" customHeight="true" outlineLevel="0" collapsed="false">
      <c r="A262" s="63" t="str">
        <f aca="false">IF($B262="","","PG-"&amp;TEXT(ROW()-5,"0000"))</f>
        <v/>
      </c>
      <c r="B262" s="69"/>
      <c r="C262" s="65" t="str">
        <f aca="false">IF($B262="","",MONTH($B262))</f>
        <v/>
      </c>
      <c r="D262" s="70"/>
      <c r="E262" s="70"/>
      <c r="F262" s="70"/>
      <c r="G262" s="70"/>
      <c r="H262" s="70"/>
      <c r="I262" s="70"/>
      <c r="J262" s="71"/>
      <c r="K262" s="72"/>
      <c r="L262" s="4"/>
      <c r="M262" s="4"/>
      <c r="N262" s="4"/>
      <c r="O262" s="4"/>
      <c r="P262" s="4"/>
      <c r="Q262" s="4"/>
    </row>
    <row r="263" customFormat="false" ht="18" hidden="false" customHeight="true" outlineLevel="0" collapsed="false">
      <c r="A263" s="63" t="str">
        <f aca="false">IF($B263="","","PG-"&amp;TEXT(ROW()-5,"0000"))</f>
        <v/>
      </c>
      <c r="B263" s="64"/>
      <c r="C263" s="65" t="str">
        <f aca="false">IF($B263="","",MONTH($B263))</f>
        <v/>
      </c>
      <c r="D263" s="66"/>
      <c r="E263" s="66"/>
      <c r="F263" s="66"/>
      <c r="G263" s="66"/>
      <c r="H263" s="66"/>
      <c r="I263" s="66"/>
      <c r="J263" s="67"/>
      <c r="K263" s="68"/>
      <c r="L263" s="4"/>
      <c r="M263" s="4"/>
      <c r="N263" s="4"/>
      <c r="O263" s="4"/>
      <c r="P263" s="4"/>
      <c r="Q263" s="4"/>
    </row>
    <row r="264" customFormat="false" ht="18" hidden="false" customHeight="true" outlineLevel="0" collapsed="false">
      <c r="A264" s="63" t="str">
        <f aca="false">IF($B264="","","PG-"&amp;TEXT(ROW()-5,"0000"))</f>
        <v/>
      </c>
      <c r="B264" s="69"/>
      <c r="C264" s="65" t="str">
        <f aca="false">IF($B264="","",MONTH($B264))</f>
        <v/>
      </c>
      <c r="D264" s="70"/>
      <c r="E264" s="70"/>
      <c r="F264" s="70"/>
      <c r="G264" s="70"/>
      <c r="H264" s="70"/>
      <c r="I264" s="70"/>
      <c r="J264" s="71"/>
      <c r="K264" s="72"/>
      <c r="L264" s="4"/>
      <c r="M264" s="4"/>
      <c r="N264" s="4"/>
      <c r="O264" s="4"/>
      <c r="P264" s="4"/>
      <c r="Q264" s="4"/>
    </row>
    <row r="265" customFormat="false" ht="18" hidden="false" customHeight="true" outlineLevel="0" collapsed="false">
      <c r="A265" s="63" t="str">
        <f aca="false">IF($B265="","","PG-"&amp;TEXT(ROW()-5,"0000"))</f>
        <v/>
      </c>
      <c r="B265" s="64"/>
      <c r="C265" s="65" t="str">
        <f aca="false">IF($B265="","",MONTH($B265))</f>
        <v/>
      </c>
      <c r="D265" s="66"/>
      <c r="E265" s="66"/>
      <c r="F265" s="66"/>
      <c r="G265" s="66"/>
      <c r="H265" s="66"/>
      <c r="I265" s="66"/>
      <c r="J265" s="67"/>
      <c r="K265" s="68"/>
      <c r="L265" s="4"/>
      <c r="M265" s="4"/>
      <c r="N265" s="4"/>
      <c r="O265" s="4"/>
      <c r="P265" s="4"/>
      <c r="Q265" s="4"/>
    </row>
    <row r="266" customFormat="false" ht="18" hidden="false" customHeight="true" outlineLevel="0" collapsed="false">
      <c r="A266" s="63" t="str">
        <f aca="false">IF($B266="","","PG-"&amp;TEXT(ROW()-5,"0000"))</f>
        <v/>
      </c>
      <c r="B266" s="69"/>
      <c r="C266" s="65" t="str">
        <f aca="false">IF($B266="","",MONTH($B266))</f>
        <v/>
      </c>
      <c r="D266" s="70"/>
      <c r="E266" s="70"/>
      <c r="F266" s="70"/>
      <c r="G266" s="70"/>
      <c r="H266" s="70"/>
      <c r="I266" s="70"/>
      <c r="J266" s="71"/>
      <c r="K266" s="72"/>
      <c r="L266" s="4"/>
      <c r="M266" s="4"/>
      <c r="N266" s="4"/>
      <c r="O266" s="4"/>
      <c r="P266" s="4"/>
      <c r="Q266" s="4"/>
    </row>
    <row r="267" customFormat="false" ht="18" hidden="false" customHeight="true" outlineLevel="0" collapsed="false">
      <c r="A267" s="63" t="str">
        <f aca="false">IF($B267="","","PG-"&amp;TEXT(ROW()-5,"0000"))</f>
        <v/>
      </c>
      <c r="B267" s="64"/>
      <c r="C267" s="65" t="str">
        <f aca="false">IF($B267="","",MONTH($B267))</f>
        <v/>
      </c>
      <c r="D267" s="66"/>
      <c r="E267" s="66"/>
      <c r="F267" s="66"/>
      <c r="G267" s="66"/>
      <c r="H267" s="66"/>
      <c r="I267" s="66"/>
      <c r="J267" s="67"/>
      <c r="K267" s="68"/>
      <c r="L267" s="4"/>
      <c r="M267" s="4"/>
      <c r="N267" s="4"/>
      <c r="O267" s="4"/>
      <c r="P267" s="4"/>
      <c r="Q267" s="4"/>
    </row>
    <row r="268" customFormat="false" ht="18" hidden="false" customHeight="true" outlineLevel="0" collapsed="false">
      <c r="A268" s="63" t="str">
        <f aca="false">IF($B268="","","PG-"&amp;TEXT(ROW()-5,"0000"))</f>
        <v/>
      </c>
      <c r="B268" s="69"/>
      <c r="C268" s="65" t="str">
        <f aca="false">IF($B268="","",MONTH($B268))</f>
        <v/>
      </c>
      <c r="D268" s="70"/>
      <c r="E268" s="70"/>
      <c r="F268" s="70"/>
      <c r="G268" s="70"/>
      <c r="H268" s="70"/>
      <c r="I268" s="70"/>
      <c r="J268" s="71"/>
      <c r="K268" s="72"/>
      <c r="L268" s="4"/>
      <c r="M268" s="4"/>
      <c r="N268" s="4"/>
      <c r="O268" s="4"/>
      <c r="P268" s="4"/>
      <c r="Q268" s="4"/>
    </row>
    <row r="269" customFormat="false" ht="18" hidden="false" customHeight="true" outlineLevel="0" collapsed="false">
      <c r="A269" s="63" t="str">
        <f aca="false">IF($B269="","","PG-"&amp;TEXT(ROW()-5,"0000"))</f>
        <v/>
      </c>
      <c r="B269" s="64"/>
      <c r="C269" s="65" t="str">
        <f aca="false">IF($B269="","",MONTH($B269))</f>
        <v/>
      </c>
      <c r="D269" s="66"/>
      <c r="E269" s="66"/>
      <c r="F269" s="66"/>
      <c r="G269" s="66"/>
      <c r="H269" s="66"/>
      <c r="I269" s="66"/>
      <c r="J269" s="67"/>
      <c r="K269" s="68"/>
      <c r="L269" s="4"/>
      <c r="M269" s="4"/>
      <c r="N269" s="4"/>
      <c r="O269" s="4"/>
      <c r="P269" s="4"/>
      <c r="Q269" s="4"/>
    </row>
    <row r="270" customFormat="false" ht="18" hidden="false" customHeight="true" outlineLevel="0" collapsed="false">
      <c r="A270" s="63" t="str">
        <f aca="false">IF($B270="","","PG-"&amp;TEXT(ROW()-5,"0000"))</f>
        <v/>
      </c>
      <c r="B270" s="69"/>
      <c r="C270" s="65" t="str">
        <f aca="false">IF($B270="","",MONTH($B270))</f>
        <v/>
      </c>
      <c r="D270" s="70"/>
      <c r="E270" s="70"/>
      <c r="F270" s="70"/>
      <c r="G270" s="70"/>
      <c r="H270" s="70"/>
      <c r="I270" s="70"/>
      <c r="J270" s="71"/>
      <c r="K270" s="72"/>
      <c r="L270" s="4"/>
      <c r="M270" s="4"/>
      <c r="N270" s="4"/>
      <c r="O270" s="4"/>
      <c r="P270" s="4"/>
      <c r="Q270" s="4"/>
    </row>
    <row r="271" customFormat="false" ht="18" hidden="false" customHeight="true" outlineLevel="0" collapsed="false">
      <c r="A271" s="63" t="str">
        <f aca="false">IF($B271="","","PG-"&amp;TEXT(ROW()-5,"0000"))</f>
        <v/>
      </c>
      <c r="B271" s="64"/>
      <c r="C271" s="65" t="str">
        <f aca="false">IF($B271="","",MONTH($B271))</f>
        <v/>
      </c>
      <c r="D271" s="66"/>
      <c r="E271" s="66"/>
      <c r="F271" s="66"/>
      <c r="G271" s="66"/>
      <c r="H271" s="66"/>
      <c r="I271" s="66"/>
      <c r="J271" s="67"/>
      <c r="K271" s="68"/>
      <c r="L271" s="4"/>
      <c r="M271" s="4"/>
      <c r="N271" s="4"/>
      <c r="O271" s="4"/>
      <c r="P271" s="4"/>
      <c r="Q271" s="4"/>
    </row>
    <row r="272" customFormat="false" ht="18" hidden="false" customHeight="true" outlineLevel="0" collapsed="false">
      <c r="A272" s="63" t="str">
        <f aca="false">IF($B272="","","PG-"&amp;TEXT(ROW()-5,"0000"))</f>
        <v/>
      </c>
      <c r="B272" s="69"/>
      <c r="C272" s="65" t="str">
        <f aca="false">IF($B272="","",MONTH($B272))</f>
        <v/>
      </c>
      <c r="D272" s="70"/>
      <c r="E272" s="70"/>
      <c r="F272" s="70"/>
      <c r="G272" s="70"/>
      <c r="H272" s="70"/>
      <c r="I272" s="70"/>
      <c r="J272" s="71"/>
      <c r="K272" s="72"/>
      <c r="L272" s="4"/>
      <c r="M272" s="4"/>
      <c r="N272" s="4"/>
      <c r="O272" s="4"/>
      <c r="P272" s="4"/>
      <c r="Q272" s="4"/>
    </row>
    <row r="273" customFormat="false" ht="18" hidden="false" customHeight="true" outlineLevel="0" collapsed="false">
      <c r="A273" s="63" t="str">
        <f aca="false">IF($B273="","","PG-"&amp;TEXT(ROW()-5,"0000"))</f>
        <v/>
      </c>
      <c r="B273" s="64"/>
      <c r="C273" s="65" t="str">
        <f aca="false">IF($B273="","",MONTH($B273))</f>
        <v/>
      </c>
      <c r="D273" s="66"/>
      <c r="E273" s="66"/>
      <c r="F273" s="66"/>
      <c r="G273" s="66"/>
      <c r="H273" s="66"/>
      <c r="I273" s="66"/>
      <c r="J273" s="67"/>
      <c r="K273" s="68"/>
      <c r="L273" s="4"/>
      <c r="M273" s="4"/>
      <c r="N273" s="4"/>
      <c r="O273" s="4"/>
      <c r="P273" s="4"/>
      <c r="Q273" s="4"/>
    </row>
    <row r="274" customFormat="false" ht="18" hidden="false" customHeight="true" outlineLevel="0" collapsed="false">
      <c r="A274" s="63" t="str">
        <f aca="false">IF($B274="","","PG-"&amp;TEXT(ROW()-5,"0000"))</f>
        <v/>
      </c>
      <c r="B274" s="69"/>
      <c r="C274" s="65" t="str">
        <f aca="false">IF($B274="","",MONTH($B274))</f>
        <v/>
      </c>
      <c r="D274" s="70"/>
      <c r="E274" s="70"/>
      <c r="F274" s="70"/>
      <c r="G274" s="70"/>
      <c r="H274" s="70"/>
      <c r="I274" s="70"/>
      <c r="J274" s="71"/>
      <c r="K274" s="72"/>
      <c r="L274" s="4"/>
      <c r="M274" s="4"/>
      <c r="N274" s="4"/>
      <c r="O274" s="4"/>
      <c r="P274" s="4"/>
      <c r="Q274" s="4"/>
    </row>
    <row r="275" customFormat="false" ht="18" hidden="false" customHeight="true" outlineLevel="0" collapsed="false">
      <c r="A275" s="63" t="str">
        <f aca="false">IF($B275="","","PG-"&amp;TEXT(ROW()-5,"0000"))</f>
        <v/>
      </c>
      <c r="B275" s="64"/>
      <c r="C275" s="65" t="str">
        <f aca="false">IF($B275="","",MONTH($B275))</f>
        <v/>
      </c>
      <c r="D275" s="66"/>
      <c r="E275" s="66"/>
      <c r="F275" s="66"/>
      <c r="G275" s="66"/>
      <c r="H275" s="66"/>
      <c r="I275" s="66"/>
      <c r="J275" s="67"/>
      <c r="K275" s="68"/>
      <c r="L275" s="4"/>
      <c r="M275" s="4"/>
      <c r="N275" s="4"/>
      <c r="O275" s="4"/>
      <c r="P275" s="4"/>
      <c r="Q275" s="4"/>
    </row>
    <row r="276" customFormat="false" ht="18" hidden="false" customHeight="true" outlineLevel="0" collapsed="false">
      <c r="A276" s="63" t="str">
        <f aca="false">IF($B276="","","PG-"&amp;TEXT(ROW()-5,"0000"))</f>
        <v/>
      </c>
      <c r="B276" s="69"/>
      <c r="C276" s="65" t="str">
        <f aca="false">IF($B276="","",MONTH($B276))</f>
        <v/>
      </c>
      <c r="D276" s="70"/>
      <c r="E276" s="70"/>
      <c r="F276" s="70"/>
      <c r="G276" s="70"/>
      <c r="H276" s="70"/>
      <c r="I276" s="70"/>
      <c r="J276" s="71"/>
      <c r="K276" s="72"/>
      <c r="L276" s="4"/>
      <c r="M276" s="4"/>
      <c r="N276" s="4"/>
      <c r="O276" s="4"/>
      <c r="P276" s="4"/>
      <c r="Q276" s="4"/>
    </row>
    <row r="277" customFormat="false" ht="18" hidden="false" customHeight="true" outlineLevel="0" collapsed="false">
      <c r="A277" s="63" t="str">
        <f aca="false">IF($B277="","","PG-"&amp;TEXT(ROW()-5,"0000"))</f>
        <v/>
      </c>
      <c r="B277" s="64"/>
      <c r="C277" s="65" t="str">
        <f aca="false">IF($B277="","",MONTH($B277))</f>
        <v/>
      </c>
      <c r="D277" s="66"/>
      <c r="E277" s="66"/>
      <c r="F277" s="66"/>
      <c r="G277" s="66"/>
      <c r="H277" s="66"/>
      <c r="I277" s="66"/>
      <c r="J277" s="67"/>
      <c r="K277" s="68"/>
      <c r="L277" s="4"/>
      <c r="M277" s="4"/>
      <c r="N277" s="4"/>
      <c r="O277" s="4"/>
      <c r="P277" s="4"/>
      <c r="Q277" s="4"/>
    </row>
    <row r="278" customFormat="false" ht="18" hidden="false" customHeight="true" outlineLevel="0" collapsed="false">
      <c r="A278" s="63" t="str">
        <f aca="false">IF($B278="","","PG-"&amp;TEXT(ROW()-5,"0000"))</f>
        <v/>
      </c>
      <c r="B278" s="69"/>
      <c r="C278" s="65" t="str">
        <f aca="false">IF($B278="","",MONTH($B278))</f>
        <v/>
      </c>
      <c r="D278" s="70"/>
      <c r="E278" s="70"/>
      <c r="F278" s="70"/>
      <c r="G278" s="70"/>
      <c r="H278" s="70"/>
      <c r="I278" s="70"/>
      <c r="J278" s="71"/>
      <c r="K278" s="72"/>
      <c r="L278" s="4"/>
      <c r="M278" s="4"/>
      <c r="N278" s="4"/>
      <c r="O278" s="4"/>
      <c r="P278" s="4"/>
      <c r="Q278" s="4"/>
    </row>
    <row r="279" customFormat="false" ht="18" hidden="false" customHeight="true" outlineLevel="0" collapsed="false">
      <c r="A279" s="63" t="str">
        <f aca="false">IF($B279="","","PG-"&amp;TEXT(ROW()-5,"0000"))</f>
        <v/>
      </c>
      <c r="B279" s="64"/>
      <c r="C279" s="65" t="str">
        <f aca="false">IF($B279="","",MONTH($B279))</f>
        <v/>
      </c>
      <c r="D279" s="66"/>
      <c r="E279" s="66"/>
      <c r="F279" s="66"/>
      <c r="G279" s="66"/>
      <c r="H279" s="66"/>
      <c r="I279" s="66"/>
      <c r="J279" s="67"/>
      <c r="K279" s="68"/>
      <c r="L279" s="4"/>
      <c r="M279" s="4"/>
      <c r="N279" s="4"/>
      <c r="O279" s="4"/>
      <c r="P279" s="4"/>
      <c r="Q279" s="4"/>
    </row>
    <row r="280" customFormat="false" ht="18" hidden="false" customHeight="true" outlineLevel="0" collapsed="false">
      <c r="A280" s="63" t="str">
        <f aca="false">IF($B280="","","PG-"&amp;TEXT(ROW()-5,"0000"))</f>
        <v/>
      </c>
      <c r="B280" s="69"/>
      <c r="C280" s="65" t="str">
        <f aca="false">IF($B280="","",MONTH($B280))</f>
        <v/>
      </c>
      <c r="D280" s="70"/>
      <c r="E280" s="70"/>
      <c r="F280" s="70"/>
      <c r="G280" s="70"/>
      <c r="H280" s="70"/>
      <c r="I280" s="70"/>
      <c r="J280" s="71"/>
      <c r="K280" s="72"/>
      <c r="L280" s="4"/>
      <c r="M280" s="4"/>
      <c r="N280" s="4"/>
      <c r="O280" s="4"/>
      <c r="P280" s="4"/>
      <c r="Q280" s="4"/>
    </row>
    <row r="281" customFormat="false" ht="18" hidden="false" customHeight="true" outlineLevel="0" collapsed="false">
      <c r="A281" s="63" t="str">
        <f aca="false">IF($B281="","","PG-"&amp;TEXT(ROW()-5,"0000"))</f>
        <v/>
      </c>
      <c r="B281" s="64"/>
      <c r="C281" s="65" t="str">
        <f aca="false">IF($B281="","",MONTH($B281))</f>
        <v/>
      </c>
      <c r="D281" s="66"/>
      <c r="E281" s="66"/>
      <c r="F281" s="66"/>
      <c r="G281" s="66"/>
      <c r="H281" s="66"/>
      <c r="I281" s="66"/>
      <c r="J281" s="67"/>
      <c r="K281" s="68"/>
      <c r="L281" s="4"/>
      <c r="M281" s="4"/>
      <c r="N281" s="4"/>
      <c r="O281" s="4"/>
      <c r="P281" s="4"/>
      <c r="Q281" s="4"/>
    </row>
    <row r="282" customFormat="false" ht="18" hidden="false" customHeight="true" outlineLevel="0" collapsed="false">
      <c r="A282" s="63" t="str">
        <f aca="false">IF($B282="","","PG-"&amp;TEXT(ROW()-5,"0000"))</f>
        <v/>
      </c>
      <c r="B282" s="69"/>
      <c r="C282" s="65" t="str">
        <f aca="false">IF($B282="","",MONTH($B282))</f>
        <v/>
      </c>
      <c r="D282" s="70"/>
      <c r="E282" s="70"/>
      <c r="F282" s="70"/>
      <c r="G282" s="70"/>
      <c r="H282" s="70"/>
      <c r="I282" s="70"/>
      <c r="J282" s="71"/>
      <c r="K282" s="72"/>
      <c r="L282" s="4"/>
      <c r="M282" s="4"/>
      <c r="N282" s="4"/>
      <c r="O282" s="4"/>
      <c r="P282" s="4"/>
      <c r="Q282" s="4"/>
    </row>
    <row r="283" customFormat="false" ht="18" hidden="false" customHeight="true" outlineLevel="0" collapsed="false">
      <c r="A283" s="63" t="str">
        <f aca="false">IF($B283="","","PG-"&amp;TEXT(ROW()-5,"0000"))</f>
        <v/>
      </c>
      <c r="B283" s="64"/>
      <c r="C283" s="65" t="str">
        <f aca="false">IF($B283="","",MONTH($B283))</f>
        <v/>
      </c>
      <c r="D283" s="66"/>
      <c r="E283" s="66"/>
      <c r="F283" s="66"/>
      <c r="G283" s="66"/>
      <c r="H283" s="66"/>
      <c r="I283" s="66"/>
      <c r="J283" s="67"/>
      <c r="K283" s="68"/>
      <c r="L283" s="4"/>
      <c r="M283" s="4"/>
      <c r="N283" s="4"/>
      <c r="O283" s="4"/>
      <c r="P283" s="4"/>
      <c r="Q283" s="4"/>
    </row>
    <row r="284" customFormat="false" ht="18" hidden="false" customHeight="true" outlineLevel="0" collapsed="false">
      <c r="A284" s="63" t="str">
        <f aca="false">IF($B284="","","PG-"&amp;TEXT(ROW()-5,"0000"))</f>
        <v/>
      </c>
      <c r="B284" s="69"/>
      <c r="C284" s="65" t="str">
        <f aca="false">IF($B284="","",MONTH($B284))</f>
        <v/>
      </c>
      <c r="D284" s="70"/>
      <c r="E284" s="70"/>
      <c r="F284" s="70"/>
      <c r="G284" s="70"/>
      <c r="H284" s="70"/>
      <c r="I284" s="70"/>
      <c r="J284" s="71"/>
      <c r="K284" s="72"/>
      <c r="L284" s="4"/>
      <c r="M284" s="4"/>
      <c r="N284" s="4"/>
      <c r="O284" s="4"/>
      <c r="P284" s="4"/>
      <c r="Q284" s="4"/>
    </row>
    <row r="285" customFormat="false" ht="18" hidden="false" customHeight="true" outlineLevel="0" collapsed="false">
      <c r="A285" s="63" t="str">
        <f aca="false">IF($B285="","","PG-"&amp;TEXT(ROW()-5,"0000"))</f>
        <v/>
      </c>
      <c r="B285" s="64"/>
      <c r="C285" s="65" t="str">
        <f aca="false">IF($B285="","",MONTH($B285))</f>
        <v/>
      </c>
      <c r="D285" s="66"/>
      <c r="E285" s="66"/>
      <c r="F285" s="66"/>
      <c r="G285" s="66"/>
      <c r="H285" s="66"/>
      <c r="I285" s="66"/>
      <c r="J285" s="67"/>
      <c r="K285" s="68"/>
      <c r="L285" s="4"/>
      <c r="M285" s="4"/>
      <c r="N285" s="4"/>
      <c r="O285" s="4"/>
      <c r="P285" s="4"/>
      <c r="Q285" s="4"/>
    </row>
    <row r="286" customFormat="false" ht="18" hidden="false" customHeight="true" outlineLevel="0" collapsed="false">
      <c r="A286" s="63" t="str">
        <f aca="false">IF($B286="","","PG-"&amp;TEXT(ROW()-5,"0000"))</f>
        <v/>
      </c>
      <c r="B286" s="69"/>
      <c r="C286" s="65" t="str">
        <f aca="false">IF($B286="","",MONTH($B286))</f>
        <v/>
      </c>
      <c r="D286" s="70"/>
      <c r="E286" s="70"/>
      <c r="F286" s="70"/>
      <c r="G286" s="70"/>
      <c r="H286" s="70"/>
      <c r="I286" s="70"/>
      <c r="J286" s="71"/>
      <c r="K286" s="72"/>
      <c r="L286" s="4"/>
      <c r="M286" s="4"/>
      <c r="N286" s="4"/>
      <c r="O286" s="4"/>
      <c r="P286" s="4"/>
      <c r="Q286" s="4"/>
    </row>
    <row r="287" customFormat="false" ht="18" hidden="false" customHeight="true" outlineLevel="0" collapsed="false">
      <c r="A287" s="63" t="str">
        <f aca="false">IF($B287="","","PG-"&amp;TEXT(ROW()-5,"0000"))</f>
        <v/>
      </c>
      <c r="B287" s="64"/>
      <c r="C287" s="65" t="str">
        <f aca="false">IF($B287="","",MONTH($B287))</f>
        <v/>
      </c>
      <c r="D287" s="66"/>
      <c r="E287" s="66"/>
      <c r="F287" s="66"/>
      <c r="G287" s="66"/>
      <c r="H287" s="66"/>
      <c r="I287" s="66"/>
      <c r="J287" s="67"/>
      <c r="K287" s="68"/>
      <c r="L287" s="4"/>
      <c r="M287" s="4"/>
      <c r="N287" s="4"/>
      <c r="O287" s="4"/>
      <c r="P287" s="4"/>
      <c r="Q287" s="4"/>
    </row>
    <row r="288" customFormat="false" ht="18" hidden="false" customHeight="true" outlineLevel="0" collapsed="false">
      <c r="A288" s="63" t="str">
        <f aca="false">IF($B288="","","PG-"&amp;TEXT(ROW()-5,"0000"))</f>
        <v/>
      </c>
      <c r="B288" s="69"/>
      <c r="C288" s="65" t="str">
        <f aca="false">IF($B288="","",MONTH($B288))</f>
        <v/>
      </c>
      <c r="D288" s="70"/>
      <c r="E288" s="70"/>
      <c r="F288" s="70"/>
      <c r="G288" s="70"/>
      <c r="H288" s="70"/>
      <c r="I288" s="70"/>
      <c r="J288" s="71"/>
      <c r="K288" s="72"/>
      <c r="L288" s="4"/>
      <c r="M288" s="4"/>
      <c r="N288" s="4"/>
      <c r="O288" s="4"/>
      <c r="P288" s="4"/>
      <c r="Q288" s="4"/>
    </row>
    <row r="289" customFormat="false" ht="18" hidden="false" customHeight="true" outlineLevel="0" collapsed="false">
      <c r="A289" s="63" t="str">
        <f aca="false">IF($B289="","","PG-"&amp;TEXT(ROW()-5,"0000"))</f>
        <v/>
      </c>
      <c r="B289" s="64"/>
      <c r="C289" s="65" t="str">
        <f aca="false">IF($B289="","",MONTH($B289))</f>
        <v/>
      </c>
      <c r="D289" s="66"/>
      <c r="E289" s="66"/>
      <c r="F289" s="66"/>
      <c r="G289" s="66"/>
      <c r="H289" s="66"/>
      <c r="I289" s="66"/>
      <c r="J289" s="67"/>
      <c r="K289" s="68"/>
      <c r="L289" s="4"/>
      <c r="M289" s="4"/>
      <c r="N289" s="4"/>
      <c r="O289" s="4"/>
      <c r="P289" s="4"/>
      <c r="Q289" s="4"/>
    </row>
    <row r="290" customFormat="false" ht="18" hidden="false" customHeight="true" outlineLevel="0" collapsed="false">
      <c r="A290" s="63" t="str">
        <f aca="false">IF($B290="","","PG-"&amp;TEXT(ROW()-5,"0000"))</f>
        <v/>
      </c>
      <c r="B290" s="69"/>
      <c r="C290" s="65" t="str">
        <f aca="false">IF($B290="","",MONTH($B290))</f>
        <v/>
      </c>
      <c r="D290" s="70"/>
      <c r="E290" s="70"/>
      <c r="F290" s="70"/>
      <c r="G290" s="70"/>
      <c r="H290" s="70"/>
      <c r="I290" s="70"/>
      <c r="J290" s="71"/>
      <c r="K290" s="72"/>
      <c r="L290" s="4"/>
      <c r="M290" s="4"/>
      <c r="N290" s="4"/>
      <c r="O290" s="4"/>
      <c r="P290" s="4"/>
      <c r="Q290" s="4"/>
    </row>
    <row r="291" customFormat="false" ht="18" hidden="false" customHeight="true" outlineLevel="0" collapsed="false">
      <c r="A291" s="63" t="str">
        <f aca="false">IF($B291="","","PG-"&amp;TEXT(ROW()-5,"0000"))</f>
        <v/>
      </c>
      <c r="B291" s="64"/>
      <c r="C291" s="65" t="str">
        <f aca="false">IF($B291="","",MONTH($B291))</f>
        <v/>
      </c>
      <c r="D291" s="66"/>
      <c r="E291" s="66"/>
      <c r="F291" s="66"/>
      <c r="G291" s="66"/>
      <c r="H291" s="66"/>
      <c r="I291" s="66"/>
      <c r="J291" s="67"/>
      <c r="K291" s="68"/>
      <c r="L291" s="4"/>
      <c r="M291" s="4"/>
      <c r="N291" s="4"/>
      <c r="O291" s="4"/>
      <c r="P291" s="4"/>
      <c r="Q291" s="4"/>
    </row>
    <row r="292" customFormat="false" ht="18" hidden="false" customHeight="true" outlineLevel="0" collapsed="false">
      <c r="A292" s="63" t="str">
        <f aca="false">IF($B292="","","PG-"&amp;TEXT(ROW()-5,"0000"))</f>
        <v/>
      </c>
      <c r="B292" s="69"/>
      <c r="C292" s="65" t="str">
        <f aca="false">IF($B292="","",MONTH($B292))</f>
        <v/>
      </c>
      <c r="D292" s="70"/>
      <c r="E292" s="70"/>
      <c r="F292" s="70"/>
      <c r="G292" s="70"/>
      <c r="H292" s="70"/>
      <c r="I292" s="70"/>
      <c r="J292" s="71"/>
      <c r="K292" s="72"/>
      <c r="L292" s="4"/>
      <c r="M292" s="4"/>
      <c r="N292" s="4"/>
      <c r="O292" s="4"/>
      <c r="P292" s="4"/>
      <c r="Q292" s="4"/>
    </row>
    <row r="293" customFormat="false" ht="18" hidden="false" customHeight="true" outlineLevel="0" collapsed="false">
      <c r="A293" s="63" t="str">
        <f aca="false">IF($B293="","","PG-"&amp;TEXT(ROW()-5,"0000"))</f>
        <v/>
      </c>
      <c r="B293" s="64"/>
      <c r="C293" s="65" t="str">
        <f aca="false">IF($B293="","",MONTH($B293))</f>
        <v/>
      </c>
      <c r="D293" s="66"/>
      <c r="E293" s="66"/>
      <c r="F293" s="66"/>
      <c r="G293" s="66"/>
      <c r="H293" s="66"/>
      <c r="I293" s="66"/>
      <c r="J293" s="67"/>
      <c r="K293" s="68"/>
      <c r="L293" s="4"/>
      <c r="M293" s="4"/>
      <c r="N293" s="4"/>
      <c r="O293" s="4"/>
      <c r="P293" s="4"/>
      <c r="Q293" s="4"/>
    </row>
    <row r="294" customFormat="false" ht="18" hidden="false" customHeight="true" outlineLevel="0" collapsed="false">
      <c r="A294" s="63" t="str">
        <f aca="false">IF($B294="","","PG-"&amp;TEXT(ROW()-5,"0000"))</f>
        <v/>
      </c>
      <c r="B294" s="69"/>
      <c r="C294" s="65" t="str">
        <f aca="false">IF($B294="","",MONTH($B294))</f>
        <v/>
      </c>
      <c r="D294" s="70"/>
      <c r="E294" s="70"/>
      <c r="F294" s="70"/>
      <c r="G294" s="70"/>
      <c r="H294" s="70"/>
      <c r="I294" s="70"/>
      <c r="J294" s="71"/>
      <c r="K294" s="72"/>
      <c r="L294" s="4"/>
      <c r="M294" s="4"/>
      <c r="N294" s="4"/>
      <c r="O294" s="4"/>
      <c r="P294" s="4"/>
      <c r="Q294" s="4"/>
    </row>
    <row r="295" customFormat="false" ht="18" hidden="false" customHeight="true" outlineLevel="0" collapsed="false">
      <c r="A295" s="63" t="str">
        <f aca="false">IF($B295="","","PG-"&amp;TEXT(ROW()-5,"0000"))</f>
        <v/>
      </c>
      <c r="B295" s="64"/>
      <c r="C295" s="65" t="str">
        <f aca="false">IF($B295="","",MONTH($B295))</f>
        <v/>
      </c>
      <c r="D295" s="66"/>
      <c r="E295" s="66"/>
      <c r="F295" s="66"/>
      <c r="G295" s="66"/>
      <c r="H295" s="66"/>
      <c r="I295" s="66"/>
      <c r="J295" s="67"/>
      <c r="K295" s="68"/>
      <c r="L295" s="4"/>
      <c r="M295" s="4"/>
      <c r="N295" s="4"/>
      <c r="O295" s="4"/>
      <c r="P295" s="4"/>
      <c r="Q295" s="4"/>
    </row>
    <row r="296" customFormat="false" ht="18" hidden="false" customHeight="true" outlineLevel="0" collapsed="false">
      <c r="A296" s="63" t="str">
        <f aca="false">IF($B296="","","PG-"&amp;TEXT(ROW()-5,"0000"))</f>
        <v/>
      </c>
      <c r="B296" s="69"/>
      <c r="C296" s="65" t="str">
        <f aca="false">IF($B296="","",MONTH($B296))</f>
        <v/>
      </c>
      <c r="D296" s="70"/>
      <c r="E296" s="70"/>
      <c r="F296" s="70"/>
      <c r="G296" s="70"/>
      <c r="H296" s="70"/>
      <c r="I296" s="70"/>
      <c r="J296" s="71"/>
      <c r="K296" s="72"/>
      <c r="L296" s="4"/>
      <c r="M296" s="4"/>
      <c r="N296" s="4"/>
      <c r="O296" s="4"/>
      <c r="P296" s="4"/>
      <c r="Q296" s="4"/>
    </row>
    <row r="297" customFormat="false" ht="18" hidden="false" customHeight="true" outlineLevel="0" collapsed="false">
      <c r="A297" s="63" t="str">
        <f aca="false">IF($B297="","","PG-"&amp;TEXT(ROW()-5,"0000"))</f>
        <v/>
      </c>
      <c r="B297" s="64"/>
      <c r="C297" s="65" t="str">
        <f aca="false">IF($B297="","",MONTH($B297))</f>
        <v/>
      </c>
      <c r="D297" s="66"/>
      <c r="E297" s="66"/>
      <c r="F297" s="66"/>
      <c r="G297" s="66"/>
      <c r="H297" s="66"/>
      <c r="I297" s="66"/>
      <c r="J297" s="67"/>
      <c r="K297" s="68"/>
      <c r="L297" s="4"/>
      <c r="M297" s="4"/>
      <c r="N297" s="4"/>
      <c r="O297" s="4"/>
      <c r="P297" s="4"/>
      <c r="Q297" s="4"/>
    </row>
    <row r="298" customFormat="false" ht="18" hidden="false" customHeight="true" outlineLevel="0" collapsed="false">
      <c r="A298" s="63" t="str">
        <f aca="false">IF($B298="","","PG-"&amp;TEXT(ROW()-5,"0000"))</f>
        <v/>
      </c>
      <c r="B298" s="69"/>
      <c r="C298" s="65" t="str">
        <f aca="false">IF($B298="","",MONTH($B298))</f>
        <v/>
      </c>
      <c r="D298" s="70"/>
      <c r="E298" s="70"/>
      <c r="F298" s="70"/>
      <c r="G298" s="70"/>
      <c r="H298" s="70"/>
      <c r="I298" s="70"/>
      <c r="J298" s="71"/>
      <c r="K298" s="72"/>
      <c r="L298" s="4"/>
      <c r="M298" s="4"/>
      <c r="N298" s="4"/>
      <c r="O298" s="4"/>
      <c r="P298" s="4"/>
      <c r="Q298" s="4"/>
    </row>
    <row r="299" customFormat="false" ht="18" hidden="false" customHeight="true" outlineLevel="0" collapsed="false">
      <c r="A299" s="63" t="str">
        <f aca="false">IF($B299="","","PG-"&amp;TEXT(ROW()-5,"0000"))</f>
        <v/>
      </c>
      <c r="B299" s="64"/>
      <c r="C299" s="65" t="str">
        <f aca="false">IF($B299="","",MONTH($B299))</f>
        <v/>
      </c>
      <c r="D299" s="66"/>
      <c r="E299" s="66"/>
      <c r="F299" s="66"/>
      <c r="G299" s="66"/>
      <c r="H299" s="66"/>
      <c r="I299" s="66"/>
      <c r="J299" s="67"/>
      <c r="K299" s="68"/>
      <c r="L299" s="4"/>
      <c r="M299" s="4"/>
      <c r="N299" s="4"/>
      <c r="O299" s="4"/>
      <c r="P299" s="4"/>
      <c r="Q299" s="4"/>
    </row>
    <row r="300" customFormat="false" ht="18" hidden="false" customHeight="true" outlineLevel="0" collapsed="false">
      <c r="A300" s="63" t="str">
        <f aca="false">IF($B300="","","PG-"&amp;TEXT(ROW()-5,"0000"))</f>
        <v/>
      </c>
      <c r="B300" s="69"/>
      <c r="C300" s="65" t="str">
        <f aca="false">IF($B300="","",MONTH($B300))</f>
        <v/>
      </c>
      <c r="D300" s="70"/>
      <c r="E300" s="70"/>
      <c r="F300" s="70"/>
      <c r="G300" s="70"/>
      <c r="H300" s="70"/>
      <c r="I300" s="70"/>
      <c r="J300" s="71"/>
      <c r="K300" s="72"/>
      <c r="L300" s="4"/>
      <c r="M300" s="4"/>
      <c r="N300" s="4"/>
      <c r="O300" s="4"/>
      <c r="P300" s="4"/>
      <c r="Q300" s="4"/>
    </row>
    <row r="301" customFormat="false" ht="18" hidden="false" customHeight="true" outlineLevel="0" collapsed="false">
      <c r="A301" s="63" t="str">
        <f aca="false">IF($B301="","","PG-"&amp;TEXT(ROW()-5,"0000"))</f>
        <v/>
      </c>
      <c r="B301" s="64"/>
      <c r="C301" s="65" t="str">
        <f aca="false">IF($B301="","",MONTH($B301))</f>
        <v/>
      </c>
      <c r="D301" s="66"/>
      <c r="E301" s="66"/>
      <c r="F301" s="66"/>
      <c r="G301" s="66"/>
      <c r="H301" s="66"/>
      <c r="I301" s="66"/>
      <c r="J301" s="67"/>
      <c r="K301" s="68"/>
      <c r="L301" s="4"/>
      <c r="M301" s="4"/>
      <c r="N301" s="4"/>
      <c r="O301" s="4"/>
      <c r="P301" s="4"/>
      <c r="Q301" s="4"/>
    </row>
    <row r="302" customFormat="false" ht="18" hidden="false" customHeight="true" outlineLevel="0" collapsed="false">
      <c r="A302" s="63" t="str">
        <f aca="false">IF($B302="","","PG-"&amp;TEXT(ROW()-5,"0000"))</f>
        <v/>
      </c>
      <c r="B302" s="69"/>
      <c r="C302" s="65" t="str">
        <f aca="false">IF($B302="","",MONTH($B302))</f>
        <v/>
      </c>
      <c r="D302" s="70"/>
      <c r="E302" s="70"/>
      <c r="F302" s="70"/>
      <c r="G302" s="70"/>
      <c r="H302" s="70"/>
      <c r="I302" s="70"/>
      <c r="J302" s="71"/>
      <c r="K302" s="72"/>
      <c r="L302" s="4"/>
      <c r="M302" s="4"/>
      <c r="N302" s="4"/>
      <c r="O302" s="4"/>
      <c r="P302" s="4"/>
      <c r="Q302" s="4"/>
    </row>
    <row r="303" customFormat="false" ht="18" hidden="false" customHeight="true" outlineLevel="0" collapsed="false">
      <c r="A303" s="63" t="str">
        <f aca="false">IF($B303="","","PG-"&amp;TEXT(ROW()-5,"0000"))</f>
        <v/>
      </c>
      <c r="B303" s="64"/>
      <c r="C303" s="65" t="str">
        <f aca="false">IF($B303="","",MONTH($B303))</f>
        <v/>
      </c>
      <c r="D303" s="66"/>
      <c r="E303" s="66"/>
      <c r="F303" s="66"/>
      <c r="G303" s="66"/>
      <c r="H303" s="66"/>
      <c r="I303" s="66"/>
      <c r="J303" s="67"/>
      <c r="K303" s="68"/>
      <c r="L303" s="4"/>
      <c r="M303" s="4"/>
      <c r="N303" s="4"/>
      <c r="O303" s="4"/>
      <c r="P303" s="4"/>
      <c r="Q303" s="4"/>
    </row>
    <row r="304" customFormat="false" ht="18" hidden="false" customHeight="true" outlineLevel="0" collapsed="false">
      <c r="A304" s="63" t="str">
        <f aca="false">IF($B304="","","PG-"&amp;TEXT(ROW()-5,"0000"))</f>
        <v/>
      </c>
      <c r="B304" s="69"/>
      <c r="C304" s="65" t="str">
        <f aca="false">IF($B304="","",MONTH($B304))</f>
        <v/>
      </c>
      <c r="D304" s="70"/>
      <c r="E304" s="70"/>
      <c r="F304" s="70"/>
      <c r="G304" s="70"/>
      <c r="H304" s="70"/>
      <c r="I304" s="70"/>
      <c r="J304" s="71"/>
      <c r="K304" s="72"/>
      <c r="L304" s="4"/>
      <c r="M304" s="4"/>
      <c r="N304" s="4"/>
      <c r="O304" s="4"/>
      <c r="P304" s="4"/>
      <c r="Q304" s="4"/>
    </row>
    <row r="305" customFormat="false" ht="18" hidden="false" customHeight="true" outlineLevel="0" collapsed="false">
      <c r="A305" s="63" t="str">
        <f aca="false">IF($B305="","","PG-"&amp;TEXT(ROW()-5,"0000"))</f>
        <v/>
      </c>
      <c r="B305" s="64"/>
      <c r="C305" s="65" t="str">
        <f aca="false">IF($B305="","",MONTH($B305))</f>
        <v/>
      </c>
      <c r="D305" s="66"/>
      <c r="E305" s="66"/>
      <c r="F305" s="66"/>
      <c r="G305" s="66"/>
      <c r="H305" s="66"/>
      <c r="I305" s="66"/>
      <c r="J305" s="67"/>
      <c r="K305" s="68"/>
      <c r="L305" s="4"/>
      <c r="M305" s="4"/>
      <c r="N305" s="4"/>
      <c r="O305" s="4"/>
      <c r="P305" s="4"/>
      <c r="Q305" s="4"/>
    </row>
    <row r="306" customFormat="false" ht="18" hidden="false" customHeight="true" outlineLevel="0" collapsed="false">
      <c r="A306" s="63" t="str">
        <f aca="false">IF($B306="","","PG-"&amp;TEXT(ROW()-5,"0000"))</f>
        <v/>
      </c>
      <c r="B306" s="69"/>
      <c r="C306" s="65" t="str">
        <f aca="false">IF($B306="","",MONTH($B306))</f>
        <v/>
      </c>
      <c r="D306" s="70"/>
      <c r="E306" s="70"/>
      <c r="F306" s="70"/>
      <c r="G306" s="70"/>
      <c r="H306" s="70"/>
      <c r="I306" s="70"/>
      <c r="J306" s="71"/>
      <c r="K306" s="72"/>
      <c r="L306" s="4"/>
      <c r="M306" s="4"/>
      <c r="N306" s="4"/>
      <c r="O306" s="4"/>
      <c r="P306" s="4"/>
      <c r="Q306" s="4"/>
    </row>
    <row r="307" customFormat="false" ht="18" hidden="false" customHeight="true" outlineLevel="0" collapsed="false">
      <c r="A307" s="63" t="str">
        <f aca="false">IF($B307="","","PG-"&amp;TEXT(ROW()-5,"0000"))</f>
        <v/>
      </c>
      <c r="B307" s="64"/>
      <c r="C307" s="65" t="str">
        <f aca="false">IF($B307="","",MONTH($B307))</f>
        <v/>
      </c>
      <c r="D307" s="66"/>
      <c r="E307" s="66"/>
      <c r="F307" s="66"/>
      <c r="G307" s="66"/>
      <c r="H307" s="66"/>
      <c r="I307" s="66"/>
      <c r="J307" s="67"/>
      <c r="K307" s="68"/>
      <c r="L307" s="4"/>
      <c r="M307" s="4"/>
      <c r="N307" s="4"/>
      <c r="O307" s="4"/>
      <c r="P307" s="4"/>
      <c r="Q307" s="4"/>
    </row>
    <row r="308" customFormat="false" ht="18" hidden="false" customHeight="true" outlineLevel="0" collapsed="false">
      <c r="A308" s="63" t="str">
        <f aca="false">IF($B308="","","PG-"&amp;TEXT(ROW()-5,"0000"))</f>
        <v/>
      </c>
      <c r="B308" s="69"/>
      <c r="C308" s="65" t="str">
        <f aca="false">IF($B308="","",MONTH($B308))</f>
        <v/>
      </c>
      <c r="D308" s="70"/>
      <c r="E308" s="70"/>
      <c r="F308" s="70"/>
      <c r="G308" s="70"/>
      <c r="H308" s="70"/>
      <c r="I308" s="70"/>
      <c r="J308" s="71"/>
      <c r="K308" s="72"/>
      <c r="L308" s="4"/>
      <c r="M308" s="4"/>
      <c r="N308" s="4"/>
      <c r="O308" s="4"/>
      <c r="P308" s="4"/>
      <c r="Q308" s="4"/>
    </row>
    <row r="309" customFormat="false" ht="18" hidden="false" customHeight="true" outlineLevel="0" collapsed="false">
      <c r="A309" s="63" t="str">
        <f aca="false">IF($B309="","","PG-"&amp;TEXT(ROW()-5,"0000"))</f>
        <v/>
      </c>
      <c r="B309" s="64"/>
      <c r="C309" s="65" t="str">
        <f aca="false">IF($B309="","",MONTH($B309))</f>
        <v/>
      </c>
      <c r="D309" s="66"/>
      <c r="E309" s="66"/>
      <c r="F309" s="66"/>
      <c r="G309" s="66"/>
      <c r="H309" s="66"/>
      <c r="I309" s="66"/>
      <c r="J309" s="67"/>
      <c r="K309" s="68"/>
      <c r="L309" s="4"/>
      <c r="M309" s="4"/>
      <c r="N309" s="4"/>
      <c r="O309" s="4"/>
      <c r="P309" s="4"/>
      <c r="Q309" s="4"/>
    </row>
    <row r="310" customFormat="false" ht="18" hidden="false" customHeight="true" outlineLevel="0" collapsed="false">
      <c r="A310" s="63" t="str">
        <f aca="false">IF($B310="","","PG-"&amp;TEXT(ROW()-5,"0000"))</f>
        <v/>
      </c>
      <c r="B310" s="69"/>
      <c r="C310" s="65" t="str">
        <f aca="false">IF($B310="","",MONTH($B310))</f>
        <v/>
      </c>
      <c r="D310" s="70"/>
      <c r="E310" s="70"/>
      <c r="F310" s="70"/>
      <c r="G310" s="70"/>
      <c r="H310" s="70"/>
      <c r="I310" s="70"/>
      <c r="J310" s="71"/>
      <c r="K310" s="72"/>
      <c r="L310" s="4"/>
      <c r="M310" s="4"/>
      <c r="N310" s="4"/>
      <c r="O310" s="4"/>
      <c r="P310" s="4"/>
      <c r="Q310" s="4"/>
    </row>
    <row r="311" customFormat="false" ht="18" hidden="false" customHeight="true" outlineLevel="0" collapsed="false">
      <c r="A311" s="63" t="str">
        <f aca="false">IF($B311="","","PG-"&amp;TEXT(ROW()-5,"0000"))</f>
        <v/>
      </c>
      <c r="B311" s="64"/>
      <c r="C311" s="65" t="str">
        <f aca="false">IF($B311="","",MONTH($B311))</f>
        <v/>
      </c>
      <c r="D311" s="66"/>
      <c r="E311" s="66"/>
      <c r="F311" s="66"/>
      <c r="G311" s="66"/>
      <c r="H311" s="66"/>
      <c r="I311" s="66"/>
      <c r="J311" s="67"/>
      <c r="K311" s="68"/>
      <c r="L311" s="4"/>
      <c r="M311" s="4"/>
      <c r="N311" s="4"/>
      <c r="O311" s="4"/>
      <c r="P311" s="4"/>
      <c r="Q311" s="4"/>
    </row>
    <row r="312" customFormat="false" ht="18" hidden="false" customHeight="true" outlineLevel="0" collapsed="false">
      <c r="A312" s="63" t="str">
        <f aca="false">IF($B312="","","PG-"&amp;TEXT(ROW()-5,"0000"))</f>
        <v/>
      </c>
      <c r="B312" s="69"/>
      <c r="C312" s="65" t="str">
        <f aca="false">IF($B312="","",MONTH($B312))</f>
        <v/>
      </c>
      <c r="D312" s="70"/>
      <c r="E312" s="70"/>
      <c r="F312" s="70"/>
      <c r="G312" s="70"/>
      <c r="H312" s="70"/>
      <c r="I312" s="70"/>
      <c r="J312" s="71"/>
      <c r="K312" s="72"/>
      <c r="L312" s="4"/>
      <c r="M312" s="4"/>
      <c r="N312" s="4"/>
      <c r="O312" s="4"/>
      <c r="P312" s="4"/>
      <c r="Q312" s="4"/>
    </row>
    <row r="313" customFormat="false" ht="18" hidden="false" customHeight="true" outlineLevel="0" collapsed="false">
      <c r="A313" s="63" t="str">
        <f aca="false">IF($B313="","","PG-"&amp;TEXT(ROW()-5,"0000"))</f>
        <v/>
      </c>
      <c r="B313" s="64"/>
      <c r="C313" s="65" t="str">
        <f aca="false">IF($B313="","",MONTH($B313))</f>
        <v/>
      </c>
      <c r="D313" s="66"/>
      <c r="E313" s="66"/>
      <c r="F313" s="66"/>
      <c r="G313" s="66"/>
      <c r="H313" s="66"/>
      <c r="I313" s="66"/>
      <c r="J313" s="67"/>
      <c r="K313" s="68"/>
      <c r="L313" s="4"/>
      <c r="M313" s="4"/>
      <c r="N313" s="4"/>
      <c r="O313" s="4"/>
      <c r="P313" s="4"/>
      <c r="Q313" s="4"/>
    </row>
    <row r="314" customFormat="false" ht="18" hidden="false" customHeight="true" outlineLevel="0" collapsed="false">
      <c r="A314" s="63" t="str">
        <f aca="false">IF($B314="","","PG-"&amp;TEXT(ROW()-5,"0000"))</f>
        <v/>
      </c>
      <c r="B314" s="69"/>
      <c r="C314" s="65" t="str">
        <f aca="false">IF($B314="","",MONTH($B314))</f>
        <v/>
      </c>
      <c r="D314" s="70"/>
      <c r="E314" s="70"/>
      <c r="F314" s="70"/>
      <c r="G314" s="70"/>
      <c r="H314" s="70"/>
      <c r="I314" s="70"/>
      <c r="J314" s="71"/>
      <c r="K314" s="72"/>
      <c r="L314" s="4"/>
      <c r="M314" s="4"/>
      <c r="N314" s="4"/>
      <c r="O314" s="4"/>
      <c r="P314" s="4"/>
      <c r="Q314" s="4"/>
    </row>
    <row r="315" customFormat="false" ht="18" hidden="false" customHeight="true" outlineLevel="0" collapsed="false">
      <c r="A315" s="63" t="str">
        <f aca="false">IF($B315="","","PG-"&amp;TEXT(ROW()-5,"0000"))</f>
        <v/>
      </c>
      <c r="B315" s="64"/>
      <c r="C315" s="65" t="str">
        <f aca="false">IF($B315="","",MONTH($B315))</f>
        <v/>
      </c>
      <c r="D315" s="66"/>
      <c r="E315" s="66"/>
      <c r="F315" s="66"/>
      <c r="G315" s="66"/>
      <c r="H315" s="66"/>
      <c r="I315" s="66"/>
      <c r="J315" s="67"/>
      <c r="K315" s="68"/>
      <c r="L315" s="4"/>
      <c r="M315" s="4"/>
      <c r="N315" s="4"/>
      <c r="O315" s="4"/>
      <c r="P315" s="4"/>
      <c r="Q315" s="4"/>
    </row>
    <row r="316" customFormat="false" ht="18" hidden="false" customHeight="true" outlineLevel="0" collapsed="false">
      <c r="A316" s="63" t="str">
        <f aca="false">IF($B316="","","PG-"&amp;TEXT(ROW()-5,"0000"))</f>
        <v/>
      </c>
      <c r="B316" s="69"/>
      <c r="C316" s="65" t="str">
        <f aca="false">IF($B316="","",MONTH($B316))</f>
        <v/>
      </c>
      <c r="D316" s="70"/>
      <c r="E316" s="70"/>
      <c r="F316" s="70"/>
      <c r="G316" s="70"/>
      <c r="H316" s="70"/>
      <c r="I316" s="70"/>
      <c r="J316" s="71"/>
      <c r="K316" s="72"/>
      <c r="L316" s="4"/>
      <c r="M316" s="4"/>
      <c r="N316" s="4"/>
      <c r="O316" s="4"/>
      <c r="P316" s="4"/>
      <c r="Q316" s="4"/>
    </row>
    <row r="317" customFormat="false" ht="18" hidden="false" customHeight="true" outlineLevel="0" collapsed="false">
      <c r="A317" s="63" t="str">
        <f aca="false">IF($B317="","","PG-"&amp;TEXT(ROW()-5,"0000"))</f>
        <v/>
      </c>
      <c r="B317" s="64"/>
      <c r="C317" s="65" t="str">
        <f aca="false">IF($B317="","",MONTH($B317))</f>
        <v/>
      </c>
      <c r="D317" s="66"/>
      <c r="E317" s="66"/>
      <c r="F317" s="66"/>
      <c r="G317" s="66"/>
      <c r="H317" s="66"/>
      <c r="I317" s="66"/>
      <c r="J317" s="67"/>
      <c r="K317" s="68"/>
      <c r="L317" s="4"/>
      <c r="M317" s="4"/>
      <c r="N317" s="4"/>
      <c r="O317" s="4"/>
      <c r="P317" s="4"/>
      <c r="Q317" s="4"/>
    </row>
    <row r="318" customFormat="false" ht="18" hidden="false" customHeight="true" outlineLevel="0" collapsed="false">
      <c r="A318" s="63" t="str">
        <f aca="false">IF($B318="","","PG-"&amp;TEXT(ROW()-5,"0000"))</f>
        <v/>
      </c>
      <c r="B318" s="69"/>
      <c r="C318" s="65" t="str">
        <f aca="false">IF($B318="","",MONTH($B318))</f>
        <v/>
      </c>
      <c r="D318" s="70"/>
      <c r="E318" s="70"/>
      <c r="F318" s="70"/>
      <c r="G318" s="70"/>
      <c r="H318" s="70"/>
      <c r="I318" s="70"/>
      <c r="J318" s="71"/>
      <c r="K318" s="72"/>
      <c r="L318" s="4"/>
      <c r="M318" s="4"/>
      <c r="N318" s="4"/>
      <c r="O318" s="4"/>
      <c r="P318" s="4"/>
      <c r="Q318" s="4"/>
    </row>
    <row r="319" customFormat="false" ht="18" hidden="false" customHeight="true" outlineLevel="0" collapsed="false">
      <c r="A319" s="63" t="str">
        <f aca="false">IF($B319="","","PG-"&amp;TEXT(ROW()-5,"0000"))</f>
        <v/>
      </c>
      <c r="B319" s="64"/>
      <c r="C319" s="65" t="str">
        <f aca="false">IF($B319="","",MONTH($B319))</f>
        <v/>
      </c>
      <c r="D319" s="66"/>
      <c r="E319" s="66"/>
      <c r="F319" s="66"/>
      <c r="G319" s="66"/>
      <c r="H319" s="66"/>
      <c r="I319" s="66"/>
      <c r="J319" s="67"/>
      <c r="K319" s="68"/>
      <c r="L319" s="4"/>
      <c r="M319" s="4"/>
      <c r="N319" s="4"/>
      <c r="O319" s="4"/>
      <c r="P319" s="4"/>
      <c r="Q319" s="4"/>
    </row>
    <row r="320" customFormat="false" ht="18" hidden="false" customHeight="true" outlineLevel="0" collapsed="false">
      <c r="A320" s="63" t="str">
        <f aca="false">IF($B320="","","PG-"&amp;TEXT(ROW()-5,"0000"))</f>
        <v/>
      </c>
      <c r="B320" s="69"/>
      <c r="C320" s="65" t="str">
        <f aca="false">IF($B320="","",MONTH($B320))</f>
        <v/>
      </c>
      <c r="D320" s="70"/>
      <c r="E320" s="70"/>
      <c r="F320" s="70"/>
      <c r="G320" s="70"/>
      <c r="H320" s="70"/>
      <c r="I320" s="70"/>
      <c r="J320" s="71"/>
      <c r="K320" s="72"/>
      <c r="L320" s="4"/>
      <c r="M320" s="4"/>
      <c r="N320" s="4"/>
      <c r="O320" s="4"/>
      <c r="P320" s="4"/>
      <c r="Q320" s="4"/>
    </row>
    <row r="321" customFormat="false" ht="18" hidden="false" customHeight="true" outlineLevel="0" collapsed="false">
      <c r="A321" s="63" t="str">
        <f aca="false">IF($B321="","","PG-"&amp;TEXT(ROW()-5,"0000"))</f>
        <v/>
      </c>
      <c r="B321" s="64"/>
      <c r="C321" s="65" t="str">
        <f aca="false">IF($B321="","",MONTH($B321))</f>
        <v/>
      </c>
      <c r="D321" s="66"/>
      <c r="E321" s="66"/>
      <c r="F321" s="66"/>
      <c r="G321" s="66"/>
      <c r="H321" s="66"/>
      <c r="I321" s="66"/>
      <c r="J321" s="67"/>
      <c r="K321" s="68"/>
      <c r="L321" s="4"/>
      <c r="M321" s="4"/>
      <c r="N321" s="4"/>
      <c r="O321" s="4"/>
      <c r="P321" s="4"/>
      <c r="Q321" s="4"/>
    </row>
    <row r="322" customFormat="false" ht="18" hidden="false" customHeight="true" outlineLevel="0" collapsed="false">
      <c r="A322" s="63" t="str">
        <f aca="false">IF($B322="","","PG-"&amp;TEXT(ROW()-5,"0000"))</f>
        <v/>
      </c>
      <c r="B322" s="69"/>
      <c r="C322" s="65" t="str">
        <f aca="false">IF($B322="","",MONTH($B322))</f>
        <v/>
      </c>
      <c r="D322" s="70"/>
      <c r="E322" s="70"/>
      <c r="F322" s="70"/>
      <c r="G322" s="70"/>
      <c r="H322" s="70"/>
      <c r="I322" s="70"/>
      <c r="J322" s="71"/>
      <c r="K322" s="72"/>
      <c r="L322" s="4"/>
      <c r="M322" s="4"/>
      <c r="N322" s="4"/>
      <c r="O322" s="4"/>
      <c r="P322" s="4"/>
      <c r="Q322" s="4"/>
    </row>
    <row r="323" customFormat="false" ht="18" hidden="false" customHeight="true" outlineLevel="0" collapsed="false">
      <c r="A323" s="63" t="str">
        <f aca="false">IF($B323="","","PG-"&amp;TEXT(ROW()-5,"0000"))</f>
        <v/>
      </c>
      <c r="B323" s="64"/>
      <c r="C323" s="65" t="str">
        <f aca="false">IF($B323="","",MONTH($B323))</f>
        <v/>
      </c>
      <c r="D323" s="66"/>
      <c r="E323" s="66"/>
      <c r="F323" s="66"/>
      <c r="G323" s="66"/>
      <c r="H323" s="66"/>
      <c r="I323" s="66"/>
      <c r="J323" s="67"/>
      <c r="K323" s="68"/>
      <c r="L323" s="4"/>
      <c r="M323" s="4"/>
      <c r="N323" s="4"/>
      <c r="O323" s="4"/>
      <c r="P323" s="4"/>
      <c r="Q323" s="4"/>
    </row>
    <row r="324" customFormat="false" ht="18" hidden="false" customHeight="true" outlineLevel="0" collapsed="false">
      <c r="A324" s="63" t="str">
        <f aca="false">IF($B324="","","PG-"&amp;TEXT(ROW()-5,"0000"))</f>
        <v/>
      </c>
      <c r="B324" s="69"/>
      <c r="C324" s="65" t="str">
        <f aca="false">IF($B324="","",MONTH($B324))</f>
        <v/>
      </c>
      <c r="D324" s="70"/>
      <c r="E324" s="70"/>
      <c r="F324" s="70"/>
      <c r="G324" s="70"/>
      <c r="H324" s="70"/>
      <c r="I324" s="70"/>
      <c r="J324" s="71"/>
      <c r="K324" s="72"/>
      <c r="L324" s="4"/>
      <c r="M324" s="4"/>
      <c r="N324" s="4"/>
      <c r="O324" s="4"/>
      <c r="P324" s="4"/>
      <c r="Q324" s="4"/>
    </row>
    <row r="325" customFormat="false" ht="18" hidden="false" customHeight="true" outlineLevel="0" collapsed="false">
      <c r="A325" s="63" t="str">
        <f aca="false">IF($B325="","","PG-"&amp;TEXT(ROW()-5,"0000"))</f>
        <v/>
      </c>
      <c r="B325" s="64"/>
      <c r="C325" s="65" t="str">
        <f aca="false">IF($B325="","",MONTH($B325))</f>
        <v/>
      </c>
      <c r="D325" s="66"/>
      <c r="E325" s="66"/>
      <c r="F325" s="66"/>
      <c r="G325" s="66"/>
      <c r="H325" s="66"/>
      <c r="I325" s="66"/>
      <c r="J325" s="67"/>
      <c r="K325" s="68"/>
      <c r="L325" s="4"/>
      <c r="M325" s="4"/>
      <c r="N325" s="4"/>
      <c r="O325" s="4"/>
      <c r="P325" s="4"/>
      <c r="Q325" s="4"/>
    </row>
    <row r="326" customFormat="false" ht="18" hidden="false" customHeight="true" outlineLevel="0" collapsed="false">
      <c r="A326" s="63" t="str">
        <f aca="false">IF($B326="","","PG-"&amp;TEXT(ROW()-5,"0000"))</f>
        <v/>
      </c>
      <c r="B326" s="69"/>
      <c r="C326" s="65" t="str">
        <f aca="false">IF($B326="","",MONTH($B326))</f>
        <v/>
      </c>
      <c r="D326" s="70"/>
      <c r="E326" s="70"/>
      <c r="F326" s="70"/>
      <c r="G326" s="70"/>
      <c r="H326" s="70"/>
      <c r="I326" s="70"/>
      <c r="J326" s="71"/>
      <c r="K326" s="72"/>
      <c r="L326" s="4"/>
      <c r="M326" s="4"/>
      <c r="N326" s="4"/>
      <c r="O326" s="4"/>
      <c r="P326" s="4"/>
      <c r="Q326" s="4"/>
    </row>
    <row r="327" customFormat="false" ht="18" hidden="false" customHeight="true" outlineLevel="0" collapsed="false">
      <c r="A327" s="63" t="str">
        <f aca="false">IF($B327="","","PG-"&amp;TEXT(ROW()-5,"0000"))</f>
        <v/>
      </c>
      <c r="B327" s="64"/>
      <c r="C327" s="65" t="str">
        <f aca="false">IF($B327="","",MONTH($B327))</f>
        <v/>
      </c>
      <c r="D327" s="66"/>
      <c r="E327" s="66"/>
      <c r="F327" s="66"/>
      <c r="G327" s="66"/>
      <c r="H327" s="66"/>
      <c r="I327" s="66"/>
      <c r="J327" s="67"/>
      <c r="K327" s="68"/>
      <c r="L327" s="4"/>
      <c r="M327" s="4"/>
      <c r="N327" s="4"/>
      <c r="O327" s="4"/>
      <c r="P327" s="4"/>
      <c r="Q327" s="4"/>
    </row>
    <row r="328" customFormat="false" ht="18" hidden="false" customHeight="true" outlineLevel="0" collapsed="false">
      <c r="A328" s="63" t="str">
        <f aca="false">IF($B328="","","PG-"&amp;TEXT(ROW()-5,"0000"))</f>
        <v/>
      </c>
      <c r="B328" s="69"/>
      <c r="C328" s="65" t="str">
        <f aca="false">IF($B328="","",MONTH($B328))</f>
        <v/>
      </c>
      <c r="D328" s="70"/>
      <c r="E328" s="70"/>
      <c r="F328" s="70"/>
      <c r="G328" s="70"/>
      <c r="H328" s="70"/>
      <c r="I328" s="70"/>
      <c r="J328" s="71"/>
      <c r="K328" s="72"/>
      <c r="L328" s="4"/>
      <c r="M328" s="4"/>
      <c r="N328" s="4"/>
      <c r="O328" s="4"/>
      <c r="P328" s="4"/>
      <c r="Q328" s="4"/>
    </row>
    <row r="329" customFormat="false" ht="18" hidden="false" customHeight="true" outlineLevel="0" collapsed="false">
      <c r="A329" s="63" t="str">
        <f aca="false">IF($B329="","","PG-"&amp;TEXT(ROW()-5,"0000"))</f>
        <v/>
      </c>
      <c r="B329" s="64"/>
      <c r="C329" s="65" t="str">
        <f aca="false">IF($B329="","",MONTH($B329))</f>
        <v/>
      </c>
      <c r="D329" s="66"/>
      <c r="E329" s="66"/>
      <c r="F329" s="66"/>
      <c r="G329" s="66"/>
      <c r="H329" s="66"/>
      <c r="I329" s="66"/>
      <c r="J329" s="67"/>
      <c r="K329" s="68"/>
      <c r="L329" s="4"/>
      <c r="M329" s="4"/>
      <c r="N329" s="4"/>
      <c r="O329" s="4"/>
      <c r="P329" s="4"/>
      <c r="Q329" s="4"/>
    </row>
    <row r="330" customFormat="false" ht="18" hidden="false" customHeight="true" outlineLevel="0" collapsed="false">
      <c r="A330" s="63" t="str">
        <f aca="false">IF($B330="","","PG-"&amp;TEXT(ROW()-5,"0000"))</f>
        <v/>
      </c>
      <c r="B330" s="69"/>
      <c r="C330" s="65" t="str">
        <f aca="false">IF($B330="","",MONTH($B330))</f>
        <v/>
      </c>
      <c r="D330" s="70"/>
      <c r="E330" s="70"/>
      <c r="F330" s="70"/>
      <c r="G330" s="70"/>
      <c r="H330" s="70"/>
      <c r="I330" s="70"/>
      <c r="J330" s="71"/>
      <c r="K330" s="72"/>
      <c r="L330" s="4"/>
      <c r="M330" s="4"/>
      <c r="N330" s="4"/>
      <c r="O330" s="4"/>
      <c r="P330" s="4"/>
      <c r="Q330" s="4"/>
    </row>
    <row r="331" customFormat="false" ht="18" hidden="false" customHeight="true" outlineLevel="0" collapsed="false">
      <c r="A331" s="63" t="str">
        <f aca="false">IF($B331="","","PG-"&amp;TEXT(ROW()-5,"0000"))</f>
        <v/>
      </c>
      <c r="B331" s="64"/>
      <c r="C331" s="65" t="str">
        <f aca="false">IF($B331="","",MONTH($B331))</f>
        <v/>
      </c>
      <c r="D331" s="66"/>
      <c r="E331" s="66"/>
      <c r="F331" s="66"/>
      <c r="G331" s="66"/>
      <c r="H331" s="66"/>
      <c r="I331" s="66"/>
      <c r="J331" s="67"/>
      <c r="K331" s="68"/>
      <c r="L331" s="4"/>
      <c r="M331" s="4"/>
      <c r="N331" s="4"/>
      <c r="O331" s="4"/>
      <c r="P331" s="4"/>
      <c r="Q331" s="4"/>
    </row>
    <row r="332" customFormat="false" ht="18" hidden="false" customHeight="true" outlineLevel="0" collapsed="false">
      <c r="A332" s="63" t="str">
        <f aca="false">IF($B332="","","PG-"&amp;TEXT(ROW()-5,"0000"))</f>
        <v/>
      </c>
      <c r="B332" s="69"/>
      <c r="C332" s="65" t="str">
        <f aca="false">IF($B332="","",MONTH($B332))</f>
        <v/>
      </c>
      <c r="D332" s="70"/>
      <c r="E332" s="70"/>
      <c r="F332" s="70"/>
      <c r="G332" s="70"/>
      <c r="H332" s="70"/>
      <c r="I332" s="70"/>
      <c r="J332" s="71"/>
      <c r="K332" s="72"/>
      <c r="L332" s="4"/>
      <c r="M332" s="4"/>
      <c r="N332" s="4"/>
      <c r="O332" s="4"/>
      <c r="P332" s="4"/>
      <c r="Q332" s="4"/>
    </row>
    <row r="333" customFormat="false" ht="18" hidden="false" customHeight="true" outlineLevel="0" collapsed="false">
      <c r="A333" s="63" t="str">
        <f aca="false">IF($B333="","","PG-"&amp;TEXT(ROW()-5,"0000"))</f>
        <v/>
      </c>
      <c r="B333" s="64"/>
      <c r="C333" s="65" t="str">
        <f aca="false">IF($B333="","",MONTH($B333))</f>
        <v/>
      </c>
      <c r="D333" s="66"/>
      <c r="E333" s="66"/>
      <c r="F333" s="66"/>
      <c r="G333" s="66"/>
      <c r="H333" s="66"/>
      <c r="I333" s="66"/>
      <c r="J333" s="67"/>
      <c r="K333" s="68"/>
      <c r="L333" s="4"/>
      <c r="M333" s="4"/>
      <c r="N333" s="4"/>
      <c r="O333" s="4"/>
      <c r="P333" s="4"/>
      <c r="Q333" s="4"/>
    </row>
    <row r="334" customFormat="false" ht="18" hidden="false" customHeight="true" outlineLevel="0" collapsed="false">
      <c r="A334" s="63" t="str">
        <f aca="false">IF($B334="","","PG-"&amp;TEXT(ROW()-5,"0000"))</f>
        <v/>
      </c>
      <c r="B334" s="69"/>
      <c r="C334" s="65" t="str">
        <f aca="false">IF($B334="","",MONTH($B334))</f>
        <v/>
      </c>
      <c r="D334" s="70"/>
      <c r="E334" s="70"/>
      <c r="F334" s="70"/>
      <c r="G334" s="70"/>
      <c r="H334" s="70"/>
      <c r="I334" s="70"/>
      <c r="J334" s="71"/>
      <c r="K334" s="72"/>
      <c r="L334" s="4"/>
      <c r="M334" s="4"/>
      <c r="N334" s="4"/>
      <c r="O334" s="4"/>
      <c r="P334" s="4"/>
      <c r="Q334" s="4"/>
    </row>
    <row r="335" customFormat="false" ht="18" hidden="false" customHeight="true" outlineLevel="0" collapsed="false">
      <c r="A335" s="63" t="str">
        <f aca="false">IF($B335="","","PG-"&amp;TEXT(ROW()-5,"0000"))</f>
        <v/>
      </c>
      <c r="B335" s="64"/>
      <c r="C335" s="65" t="str">
        <f aca="false">IF($B335="","",MONTH($B335))</f>
        <v/>
      </c>
      <c r="D335" s="66"/>
      <c r="E335" s="66"/>
      <c r="F335" s="66"/>
      <c r="G335" s="66"/>
      <c r="H335" s="66"/>
      <c r="I335" s="66"/>
      <c r="J335" s="67"/>
      <c r="K335" s="68"/>
      <c r="L335" s="4"/>
      <c r="M335" s="4"/>
      <c r="N335" s="4"/>
      <c r="O335" s="4"/>
      <c r="P335" s="4"/>
      <c r="Q335" s="4"/>
    </row>
    <row r="336" customFormat="false" ht="18" hidden="false" customHeight="true" outlineLevel="0" collapsed="false">
      <c r="A336" s="63" t="str">
        <f aca="false">IF($B336="","","PG-"&amp;TEXT(ROW()-5,"0000"))</f>
        <v/>
      </c>
      <c r="B336" s="69"/>
      <c r="C336" s="65" t="str">
        <f aca="false">IF($B336="","",MONTH($B336))</f>
        <v/>
      </c>
      <c r="D336" s="70"/>
      <c r="E336" s="70"/>
      <c r="F336" s="70"/>
      <c r="G336" s="70"/>
      <c r="H336" s="70"/>
      <c r="I336" s="70"/>
      <c r="J336" s="71"/>
      <c r="K336" s="72"/>
      <c r="L336" s="4"/>
      <c r="M336" s="4"/>
      <c r="N336" s="4"/>
      <c r="O336" s="4"/>
      <c r="P336" s="4"/>
      <c r="Q336" s="4"/>
    </row>
    <row r="337" customFormat="false" ht="18" hidden="false" customHeight="true" outlineLevel="0" collapsed="false">
      <c r="A337" s="63" t="str">
        <f aca="false">IF($B337="","","PG-"&amp;TEXT(ROW()-5,"0000"))</f>
        <v/>
      </c>
      <c r="B337" s="64"/>
      <c r="C337" s="65" t="str">
        <f aca="false">IF($B337="","",MONTH($B337))</f>
        <v/>
      </c>
      <c r="D337" s="66"/>
      <c r="E337" s="66"/>
      <c r="F337" s="66"/>
      <c r="G337" s="66"/>
      <c r="H337" s="66"/>
      <c r="I337" s="66"/>
      <c r="J337" s="67"/>
      <c r="K337" s="68"/>
      <c r="L337" s="4"/>
      <c r="M337" s="4"/>
      <c r="N337" s="4"/>
      <c r="O337" s="4"/>
      <c r="P337" s="4"/>
      <c r="Q337" s="4"/>
    </row>
    <row r="338" customFormat="false" ht="18" hidden="false" customHeight="true" outlineLevel="0" collapsed="false">
      <c r="A338" s="63" t="str">
        <f aca="false">IF($B338="","","PG-"&amp;TEXT(ROW()-5,"0000"))</f>
        <v/>
      </c>
      <c r="B338" s="69"/>
      <c r="C338" s="65" t="str">
        <f aca="false">IF($B338="","",MONTH($B338))</f>
        <v/>
      </c>
      <c r="D338" s="70"/>
      <c r="E338" s="70"/>
      <c r="F338" s="70"/>
      <c r="G338" s="70"/>
      <c r="H338" s="70"/>
      <c r="I338" s="70"/>
      <c r="J338" s="71"/>
      <c r="K338" s="72"/>
      <c r="L338" s="4"/>
      <c r="M338" s="4"/>
      <c r="N338" s="4"/>
      <c r="O338" s="4"/>
      <c r="P338" s="4"/>
      <c r="Q338" s="4"/>
    </row>
    <row r="339" customFormat="false" ht="18" hidden="false" customHeight="true" outlineLevel="0" collapsed="false">
      <c r="A339" s="63" t="str">
        <f aca="false">IF($B339="","","PG-"&amp;TEXT(ROW()-5,"0000"))</f>
        <v/>
      </c>
      <c r="B339" s="64"/>
      <c r="C339" s="65" t="str">
        <f aca="false">IF($B339="","",MONTH($B339))</f>
        <v/>
      </c>
      <c r="D339" s="66"/>
      <c r="E339" s="66"/>
      <c r="F339" s="66"/>
      <c r="G339" s="66"/>
      <c r="H339" s="66"/>
      <c r="I339" s="66"/>
      <c r="J339" s="67"/>
      <c r="K339" s="68"/>
      <c r="L339" s="4"/>
      <c r="M339" s="4"/>
      <c r="N339" s="4"/>
      <c r="O339" s="4"/>
      <c r="P339" s="4"/>
      <c r="Q339" s="4"/>
    </row>
    <row r="340" customFormat="false" ht="18" hidden="false" customHeight="true" outlineLevel="0" collapsed="false">
      <c r="A340" s="63" t="str">
        <f aca="false">IF($B340="","","PG-"&amp;TEXT(ROW()-5,"0000"))</f>
        <v/>
      </c>
      <c r="B340" s="69"/>
      <c r="C340" s="65" t="str">
        <f aca="false">IF($B340="","",MONTH($B340))</f>
        <v/>
      </c>
      <c r="D340" s="70"/>
      <c r="E340" s="70"/>
      <c r="F340" s="70"/>
      <c r="G340" s="70"/>
      <c r="H340" s="70"/>
      <c r="I340" s="70"/>
      <c r="J340" s="71"/>
      <c r="K340" s="72"/>
      <c r="L340" s="4"/>
      <c r="M340" s="4"/>
      <c r="N340" s="4"/>
      <c r="O340" s="4"/>
      <c r="P340" s="4"/>
      <c r="Q340" s="4"/>
    </row>
    <row r="341" customFormat="false" ht="18" hidden="false" customHeight="true" outlineLevel="0" collapsed="false">
      <c r="A341" s="63" t="str">
        <f aca="false">IF($B341="","","PG-"&amp;TEXT(ROW()-5,"0000"))</f>
        <v/>
      </c>
      <c r="B341" s="64"/>
      <c r="C341" s="65" t="str">
        <f aca="false">IF($B341="","",MONTH($B341))</f>
        <v/>
      </c>
      <c r="D341" s="66"/>
      <c r="E341" s="66"/>
      <c r="F341" s="66"/>
      <c r="G341" s="66"/>
      <c r="H341" s="66"/>
      <c r="I341" s="66"/>
      <c r="J341" s="67"/>
      <c r="K341" s="68"/>
      <c r="L341" s="4"/>
      <c r="M341" s="4"/>
      <c r="N341" s="4"/>
      <c r="O341" s="4"/>
      <c r="P341" s="4"/>
      <c r="Q341" s="4"/>
    </row>
    <row r="342" customFormat="false" ht="18" hidden="false" customHeight="true" outlineLevel="0" collapsed="false">
      <c r="A342" s="63" t="str">
        <f aca="false">IF($B342="","","PG-"&amp;TEXT(ROW()-5,"0000"))</f>
        <v/>
      </c>
      <c r="B342" s="69"/>
      <c r="C342" s="65" t="str">
        <f aca="false">IF($B342="","",MONTH($B342))</f>
        <v/>
      </c>
      <c r="D342" s="70"/>
      <c r="E342" s="70"/>
      <c r="F342" s="70"/>
      <c r="G342" s="70"/>
      <c r="H342" s="70"/>
      <c r="I342" s="70"/>
      <c r="J342" s="71"/>
      <c r="K342" s="72"/>
      <c r="L342" s="4"/>
      <c r="M342" s="4"/>
      <c r="N342" s="4"/>
      <c r="O342" s="4"/>
      <c r="P342" s="4"/>
      <c r="Q342" s="4"/>
    </row>
    <row r="343" customFormat="false" ht="18" hidden="false" customHeight="true" outlineLevel="0" collapsed="false">
      <c r="A343" s="63" t="str">
        <f aca="false">IF($B343="","","PG-"&amp;TEXT(ROW()-5,"0000"))</f>
        <v/>
      </c>
      <c r="B343" s="64"/>
      <c r="C343" s="65" t="str">
        <f aca="false">IF($B343="","",MONTH($B343))</f>
        <v/>
      </c>
      <c r="D343" s="66"/>
      <c r="E343" s="66"/>
      <c r="F343" s="66"/>
      <c r="G343" s="66"/>
      <c r="H343" s="66"/>
      <c r="I343" s="66"/>
      <c r="J343" s="67"/>
      <c r="K343" s="68"/>
      <c r="L343" s="4"/>
      <c r="M343" s="4"/>
      <c r="N343" s="4"/>
      <c r="O343" s="4"/>
      <c r="P343" s="4"/>
      <c r="Q343" s="4"/>
    </row>
    <row r="344" customFormat="false" ht="18" hidden="false" customHeight="true" outlineLevel="0" collapsed="false">
      <c r="A344" s="63" t="str">
        <f aca="false">IF($B344="","","PG-"&amp;TEXT(ROW()-5,"0000"))</f>
        <v/>
      </c>
      <c r="B344" s="69"/>
      <c r="C344" s="65" t="str">
        <f aca="false">IF($B344="","",MONTH($B344))</f>
        <v/>
      </c>
      <c r="D344" s="70"/>
      <c r="E344" s="70"/>
      <c r="F344" s="70"/>
      <c r="G344" s="70"/>
      <c r="H344" s="70"/>
      <c r="I344" s="70"/>
      <c r="J344" s="71"/>
      <c r="K344" s="72"/>
      <c r="L344" s="4"/>
      <c r="M344" s="4"/>
      <c r="N344" s="4"/>
      <c r="O344" s="4"/>
      <c r="P344" s="4"/>
      <c r="Q344" s="4"/>
    </row>
    <row r="345" customFormat="false" ht="18" hidden="false" customHeight="true" outlineLevel="0" collapsed="false">
      <c r="A345" s="63" t="str">
        <f aca="false">IF($B345="","","PG-"&amp;TEXT(ROW()-5,"0000"))</f>
        <v/>
      </c>
      <c r="B345" s="64"/>
      <c r="C345" s="65" t="str">
        <f aca="false">IF($B345="","",MONTH($B345))</f>
        <v/>
      </c>
      <c r="D345" s="66"/>
      <c r="E345" s="66"/>
      <c r="F345" s="66"/>
      <c r="G345" s="66"/>
      <c r="H345" s="66"/>
      <c r="I345" s="66"/>
      <c r="J345" s="67"/>
      <c r="K345" s="68"/>
      <c r="L345" s="4"/>
      <c r="M345" s="4"/>
      <c r="N345" s="4"/>
      <c r="O345" s="4"/>
      <c r="P345" s="4"/>
      <c r="Q345" s="4"/>
    </row>
    <row r="346" customFormat="false" ht="18" hidden="false" customHeight="true" outlineLevel="0" collapsed="false">
      <c r="A346" s="63" t="str">
        <f aca="false">IF($B346="","","PG-"&amp;TEXT(ROW()-5,"0000"))</f>
        <v/>
      </c>
      <c r="B346" s="69"/>
      <c r="C346" s="65" t="str">
        <f aca="false">IF($B346="","",MONTH($B346))</f>
        <v/>
      </c>
      <c r="D346" s="70"/>
      <c r="E346" s="70"/>
      <c r="F346" s="70"/>
      <c r="G346" s="70"/>
      <c r="H346" s="70"/>
      <c r="I346" s="70"/>
      <c r="J346" s="71"/>
      <c r="K346" s="72"/>
      <c r="L346" s="4"/>
      <c r="M346" s="4"/>
      <c r="N346" s="4"/>
      <c r="O346" s="4"/>
      <c r="P346" s="4"/>
      <c r="Q346" s="4"/>
    </row>
    <row r="347" customFormat="false" ht="18" hidden="false" customHeight="true" outlineLevel="0" collapsed="false">
      <c r="A347" s="63" t="str">
        <f aca="false">IF($B347="","","PG-"&amp;TEXT(ROW()-5,"0000"))</f>
        <v/>
      </c>
      <c r="B347" s="64"/>
      <c r="C347" s="65" t="str">
        <f aca="false">IF($B347="","",MONTH($B347))</f>
        <v/>
      </c>
      <c r="D347" s="66"/>
      <c r="E347" s="66"/>
      <c r="F347" s="66"/>
      <c r="G347" s="66"/>
      <c r="H347" s="66"/>
      <c r="I347" s="66"/>
      <c r="J347" s="67"/>
      <c r="K347" s="68"/>
      <c r="L347" s="4"/>
      <c r="M347" s="4"/>
      <c r="N347" s="4"/>
      <c r="O347" s="4"/>
      <c r="P347" s="4"/>
      <c r="Q347" s="4"/>
    </row>
    <row r="348" customFormat="false" ht="18" hidden="false" customHeight="true" outlineLevel="0" collapsed="false">
      <c r="A348" s="63" t="str">
        <f aca="false">IF($B348="","","PG-"&amp;TEXT(ROW()-5,"0000"))</f>
        <v/>
      </c>
      <c r="B348" s="69"/>
      <c r="C348" s="65" t="str">
        <f aca="false">IF($B348="","",MONTH($B348))</f>
        <v/>
      </c>
      <c r="D348" s="70"/>
      <c r="E348" s="70"/>
      <c r="F348" s="70"/>
      <c r="G348" s="70"/>
      <c r="H348" s="70"/>
      <c r="I348" s="70"/>
      <c r="J348" s="71"/>
      <c r="K348" s="72"/>
      <c r="L348" s="4"/>
      <c r="M348" s="4"/>
      <c r="N348" s="4"/>
      <c r="O348" s="4"/>
      <c r="P348" s="4"/>
      <c r="Q348" s="4"/>
    </row>
    <row r="349" customFormat="false" ht="18" hidden="false" customHeight="true" outlineLevel="0" collapsed="false">
      <c r="A349" s="63" t="str">
        <f aca="false">IF($B349="","","PG-"&amp;TEXT(ROW()-5,"0000"))</f>
        <v/>
      </c>
      <c r="B349" s="64"/>
      <c r="C349" s="65" t="str">
        <f aca="false">IF($B349="","",MONTH($B349))</f>
        <v/>
      </c>
      <c r="D349" s="66"/>
      <c r="E349" s="66"/>
      <c r="F349" s="66"/>
      <c r="G349" s="66"/>
      <c r="H349" s="66"/>
      <c r="I349" s="66"/>
      <c r="J349" s="67"/>
      <c r="K349" s="68"/>
      <c r="L349" s="4"/>
      <c r="M349" s="4"/>
      <c r="N349" s="4"/>
      <c r="O349" s="4"/>
      <c r="P349" s="4"/>
      <c r="Q349" s="4"/>
    </row>
    <row r="350" customFormat="false" ht="18" hidden="false" customHeight="true" outlineLevel="0" collapsed="false">
      <c r="A350" s="63" t="str">
        <f aca="false">IF($B350="","","PG-"&amp;TEXT(ROW()-5,"0000"))</f>
        <v/>
      </c>
      <c r="B350" s="69"/>
      <c r="C350" s="65" t="str">
        <f aca="false">IF($B350="","",MONTH($B350))</f>
        <v/>
      </c>
      <c r="D350" s="70"/>
      <c r="E350" s="70"/>
      <c r="F350" s="70"/>
      <c r="G350" s="70"/>
      <c r="H350" s="70"/>
      <c r="I350" s="70"/>
      <c r="J350" s="71"/>
      <c r="K350" s="72"/>
      <c r="L350" s="4"/>
      <c r="M350" s="4"/>
      <c r="N350" s="4"/>
      <c r="O350" s="4"/>
      <c r="P350" s="4"/>
      <c r="Q350" s="4"/>
    </row>
    <row r="351" customFormat="false" ht="18" hidden="false" customHeight="true" outlineLevel="0" collapsed="false">
      <c r="A351" s="63" t="str">
        <f aca="false">IF($B351="","","PG-"&amp;TEXT(ROW()-5,"0000"))</f>
        <v/>
      </c>
      <c r="B351" s="64"/>
      <c r="C351" s="65" t="str">
        <f aca="false">IF($B351="","",MONTH($B351))</f>
        <v/>
      </c>
      <c r="D351" s="66"/>
      <c r="E351" s="66"/>
      <c r="F351" s="66"/>
      <c r="G351" s="66"/>
      <c r="H351" s="66"/>
      <c r="I351" s="66"/>
      <c r="J351" s="67"/>
      <c r="K351" s="68"/>
      <c r="L351" s="4"/>
      <c r="M351" s="4"/>
      <c r="N351" s="4"/>
      <c r="O351" s="4"/>
      <c r="P351" s="4"/>
      <c r="Q351" s="4"/>
    </row>
    <row r="352" customFormat="false" ht="18" hidden="false" customHeight="true" outlineLevel="0" collapsed="false">
      <c r="A352" s="63" t="str">
        <f aca="false">IF($B352="","","PG-"&amp;TEXT(ROW()-5,"0000"))</f>
        <v/>
      </c>
      <c r="B352" s="69"/>
      <c r="C352" s="65" t="str">
        <f aca="false">IF($B352="","",MONTH($B352))</f>
        <v/>
      </c>
      <c r="D352" s="70"/>
      <c r="E352" s="70"/>
      <c r="F352" s="70"/>
      <c r="G352" s="70"/>
      <c r="H352" s="70"/>
      <c r="I352" s="70"/>
      <c r="J352" s="71"/>
      <c r="K352" s="72"/>
      <c r="L352" s="4"/>
      <c r="M352" s="4"/>
      <c r="N352" s="4"/>
      <c r="O352" s="4"/>
      <c r="P352" s="4"/>
      <c r="Q352" s="4"/>
    </row>
    <row r="353" customFormat="false" ht="18" hidden="false" customHeight="true" outlineLevel="0" collapsed="false">
      <c r="A353" s="63" t="str">
        <f aca="false">IF($B353="","","PG-"&amp;TEXT(ROW()-5,"0000"))</f>
        <v/>
      </c>
      <c r="B353" s="64"/>
      <c r="C353" s="65" t="str">
        <f aca="false">IF($B353="","",MONTH($B353))</f>
        <v/>
      </c>
      <c r="D353" s="66"/>
      <c r="E353" s="66"/>
      <c r="F353" s="66"/>
      <c r="G353" s="66"/>
      <c r="H353" s="66"/>
      <c r="I353" s="66"/>
      <c r="J353" s="67"/>
      <c r="K353" s="68"/>
      <c r="L353" s="4"/>
      <c r="M353" s="4"/>
      <c r="N353" s="4"/>
      <c r="O353" s="4"/>
      <c r="P353" s="4"/>
      <c r="Q353" s="4"/>
    </row>
    <row r="354" customFormat="false" ht="18" hidden="false" customHeight="true" outlineLevel="0" collapsed="false">
      <c r="A354" s="63" t="str">
        <f aca="false">IF($B354="","","PG-"&amp;TEXT(ROW()-5,"0000"))</f>
        <v/>
      </c>
      <c r="B354" s="69"/>
      <c r="C354" s="65" t="str">
        <f aca="false">IF($B354="","",MONTH($B354))</f>
        <v/>
      </c>
      <c r="D354" s="70"/>
      <c r="E354" s="70"/>
      <c r="F354" s="70"/>
      <c r="G354" s="70"/>
      <c r="H354" s="70"/>
      <c r="I354" s="70"/>
      <c r="J354" s="71"/>
      <c r="K354" s="72"/>
      <c r="L354" s="4"/>
      <c r="M354" s="4"/>
      <c r="N354" s="4"/>
      <c r="O354" s="4"/>
      <c r="P354" s="4"/>
      <c r="Q354" s="4"/>
    </row>
    <row r="355" customFormat="false" ht="18" hidden="false" customHeight="true" outlineLevel="0" collapsed="false">
      <c r="A355" s="63" t="str">
        <f aca="false">IF($B355="","","PG-"&amp;TEXT(ROW()-5,"0000"))</f>
        <v/>
      </c>
      <c r="B355" s="64"/>
      <c r="C355" s="65" t="str">
        <f aca="false">IF($B355="","",MONTH($B355))</f>
        <v/>
      </c>
      <c r="D355" s="66"/>
      <c r="E355" s="66"/>
      <c r="F355" s="66"/>
      <c r="G355" s="66"/>
      <c r="H355" s="66"/>
      <c r="I355" s="66"/>
      <c r="J355" s="67"/>
      <c r="K355" s="68"/>
      <c r="L355" s="4"/>
      <c r="M355" s="4"/>
      <c r="N355" s="4"/>
      <c r="O355" s="4"/>
      <c r="P355" s="4"/>
      <c r="Q355" s="4"/>
    </row>
    <row r="356" customFormat="false" ht="18" hidden="false" customHeight="true" outlineLevel="0" collapsed="false">
      <c r="A356" s="63" t="str">
        <f aca="false">IF($B356="","","PG-"&amp;TEXT(ROW()-5,"0000"))</f>
        <v/>
      </c>
      <c r="B356" s="69"/>
      <c r="C356" s="65" t="str">
        <f aca="false">IF($B356="","",MONTH($B356))</f>
        <v/>
      </c>
      <c r="D356" s="70"/>
      <c r="E356" s="70"/>
      <c r="F356" s="70"/>
      <c r="G356" s="70"/>
      <c r="H356" s="70"/>
      <c r="I356" s="70"/>
      <c r="J356" s="71"/>
      <c r="K356" s="72"/>
      <c r="L356" s="4"/>
      <c r="M356" s="4"/>
      <c r="N356" s="4"/>
      <c r="O356" s="4"/>
      <c r="P356" s="4"/>
      <c r="Q356" s="4"/>
    </row>
    <row r="357" customFormat="false" ht="18" hidden="false" customHeight="true" outlineLevel="0" collapsed="false">
      <c r="A357" s="63" t="str">
        <f aca="false">IF($B357="","","PG-"&amp;TEXT(ROW()-5,"0000"))</f>
        <v/>
      </c>
      <c r="B357" s="64"/>
      <c r="C357" s="65" t="str">
        <f aca="false">IF($B357="","",MONTH($B357))</f>
        <v/>
      </c>
      <c r="D357" s="66"/>
      <c r="E357" s="66"/>
      <c r="F357" s="66"/>
      <c r="G357" s="66"/>
      <c r="H357" s="66"/>
      <c r="I357" s="66"/>
      <c r="J357" s="67"/>
      <c r="K357" s="68"/>
      <c r="L357" s="4"/>
      <c r="M357" s="4"/>
      <c r="N357" s="4"/>
      <c r="O357" s="4"/>
      <c r="P357" s="4"/>
      <c r="Q357" s="4"/>
    </row>
    <row r="358" customFormat="false" ht="18" hidden="false" customHeight="true" outlineLevel="0" collapsed="false">
      <c r="A358" s="63" t="str">
        <f aca="false">IF($B358="","","PG-"&amp;TEXT(ROW()-5,"0000"))</f>
        <v/>
      </c>
      <c r="B358" s="69"/>
      <c r="C358" s="65" t="str">
        <f aca="false">IF($B358="","",MONTH($B358))</f>
        <v/>
      </c>
      <c r="D358" s="70"/>
      <c r="E358" s="70"/>
      <c r="F358" s="70"/>
      <c r="G358" s="70"/>
      <c r="H358" s="70"/>
      <c r="I358" s="70"/>
      <c r="J358" s="71"/>
      <c r="K358" s="72"/>
      <c r="L358" s="4"/>
      <c r="M358" s="4"/>
      <c r="N358" s="4"/>
      <c r="O358" s="4"/>
      <c r="P358" s="4"/>
      <c r="Q358" s="4"/>
    </row>
    <row r="359" customFormat="false" ht="18" hidden="false" customHeight="true" outlineLevel="0" collapsed="false">
      <c r="A359" s="63" t="str">
        <f aca="false">IF($B359="","","PG-"&amp;TEXT(ROW()-5,"0000"))</f>
        <v/>
      </c>
      <c r="B359" s="64"/>
      <c r="C359" s="65" t="str">
        <f aca="false">IF($B359="","",MONTH($B359))</f>
        <v/>
      </c>
      <c r="D359" s="66"/>
      <c r="E359" s="66"/>
      <c r="F359" s="66"/>
      <c r="G359" s="66"/>
      <c r="H359" s="66"/>
      <c r="I359" s="66"/>
      <c r="J359" s="67"/>
      <c r="K359" s="68"/>
      <c r="L359" s="4"/>
      <c r="M359" s="4"/>
      <c r="N359" s="4"/>
      <c r="O359" s="4"/>
      <c r="P359" s="4"/>
      <c r="Q359" s="4"/>
    </row>
    <row r="360" customFormat="false" ht="18" hidden="false" customHeight="true" outlineLevel="0" collapsed="false">
      <c r="A360" s="63" t="str">
        <f aca="false">IF($B360="","","PG-"&amp;TEXT(ROW()-5,"0000"))</f>
        <v/>
      </c>
      <c r="B360" s="69"/>
      <c r="C360" s="65" t="str">
        <f aca="false">IF($B360="","",MONTH($B360))</f>
        <v/>
      </c>
      <c r="D360" s="70"/>
      <c r="E360" s="70"/>
      <c r="F360" s="70"/>
      <c r="G360" s="70"/>
      <c r="H360" s="70"/>
      <c r="I360" s="70"/>
      <c r="J360" s="71"/>
      <c r="K360" s="72"/>
      <c r="L360" s="4"/>
      <c r="M360" s="4"/>
      <c r="N360" s="4"/>
      <c r="O360" s="4"/>
      <c r="P360" s="4"/>
      <c r="Q360" s="4"/>
    </row>
    <row r="361" customFormat="false" ht="18" hidden="false" customHeight="true" outlineLevel="0" collapsed="false">
      <c r="A361" s="63" t="str">
        <f aca="false">IF($B361="","","PG-"&amp;TEXT(ROW()-5,"0000"))</f>
        <v/>
      </c>
      <c r="B361" s="64"/>
      <c r="C361" s="65" t="str">
        <f aca="false">IF($B361="","",MONTH($B361))</f>
        <v/>
      </c>
      <c r="D361" s="66"/>
      <c r="E361" s="66"/>
      <c r="F361" s="66"/>
      <c r="G361" s="66"/>
      <c r="H361" s="66"/>
      <c r="I361" s="66"/>
      <c r="J361" s="67"/>
      <c r="K361" s="68"/>
      <c r="L361" s="4"/>
      <c r="M361" s="4"/>
      <c r="N361" s="4"/>
      <c r="O361" s="4"/>
      <c r="P361" s="4"/>
      <c r="Q361" s="4"/>
    </row>
    <row r="362" customFormat="false" ht="18" hidden="false" customHeight="true" outlineLevel="0" collapsed="false">
      <c r="A362" s="63" t="str">
        <f aca="false">IF($B362="","","PG-"&amp;TEXT(ROW()-5,"0000"))</f>
        <v/>
      </c>
      <c r="B362" s="69"/>
      <c r="C362" s="65" t="str">
        <f aca="false">IF($B362="","",MONTH($B362))</f>
        <v/>
      </c>
      <c r="D362" s="70"/>
      <c r="E362" s="70"/>
      <c r="F362" s="70"/>
      <c r="G362" s="70"/>
      <c r="H362" s="70"/>
      <c r="I362" s="70"/>
      <c r="J362" s="71"/>
      <c r="K362" s="72"/>
      <c r="L362" s="4"/>
      <c r="M362" s="4"/>
      <c r="N362" s="4"/>
      <c r="O362" s="4"/>
      <c r="P362" s="4"/>
      <c r="Q362" s="4"/>
    </row>
    <row r="363" customFormat="false" ht="18" hidden="false" customHeight="true" outlineLevel="0" collapsed="false">
      <c r="A363" s="63" t="str">
        <f aca="false">IF($B363="","","PG-"&amp;TEXT(ROW()-5,"0000"))</f>
        <v/>
      </c>
      <c r="B363" s="64"/>
      <c r="C363" s="65" t="str">
        <f aca="false">IF($B363="","",MONTH($B363))</f>
        <v/>
      </c>
      <c r="D363" s="66"/>
      <c r="E363" s="66"/>
      <c r="F363" s="66"/>
      <c r="G363" s="66"/>
      <c r="H363" s="66"/>
      <c r="I363" s="66"/>
      <c r="J363" s="67"/>
      <c r="K363" s="68"/>
      <c r="L363" s="4"/>
      <c r="M363" s="4"/>
      <c r="N363" s="4"/>
      <c r="O363" s="4"/>
      <c r="P363" s="4"/>
      <c r="Q363" s="4"/>
    </row>
    <row r="364" customFormat="false" ht="18" hidden="false" customHeight="true" outlineLevel="0" collapsed="false">
      <c r="A364" s="63" t="str">
        <f aca="false">IF($B364="","","PG-"&amp;TEXT(ROW()-5,"0000"))</f>
        <v/>
      </c>
      <c r="B364" s="69"/>
      <c r="C364" s="65" t="str">
        <f aca="false">IF($B364="","",MONTH($B364))</f>
        <v/>
      </c>
      <c r="D364" s="70"/>
      <c r="E364" s="70"/>
      <c r="F364" s="70"/>
      <c r="G364" s="70"/>
      <c r="H364" s="70"/>
      <c r="I364" s="70"/>
      <c r="J364" s="71"/>
      <c r="K364" s="72"/>
      <c r="L364" s="4"/>
      <c r="M364" s="4"/>
      <c r="N364" s="4"/>
      <c r="O364" s="4"/>
      <c r="P364" s="4"/>
      <c r="Q364" s="4"/>
    </row>
    <row r="365" customFormat="false" ht="18" hidden="false" customHeight="true" outlineLevel="0" collapsed="false">
      <c r="A365" s="63" t="str">
        <f aca="false">IF($B365="","","PG-"&amp;TEXT(ROW()-5,"0000"))</f>
        <v/>
      </c>
      <c r="B365" s="64"/>
      <c r="C365" s="65" t="str">
        <f aca="false">IF($B365="","",MONTH($B365))</f>
        <v/>
      </c>
      <c r="D365" s="66"/>
      <c r="E365" s="66"/>
      <c r="F365" s="66"/>
      <c r="G365" s="66"/>
      <c r="H365" s="66"/>
      <c r="I365" s="66"/>
      <c r="J365" s="67"/>
      <c r="K365" s="68"/>
      <c r="L365" s="4"/>
      <c r="M365" s="4"/>
      <c r="N365" s="4"/>
      <c r="O365" s="4"/>
      <c r="P365" s="4"/>
      <c r="Q365" s="4"/>
    </row>
    <row r="366" customFormat="false" ht="18" hidden="false" customHeight="true" outlineLevel="0" collapsed="false">
      <c r="A366" s="63" t="str">
        <f aca="false">IF($B366="","","PG-"&amp;TEXT(ROW()-5,"0000"))</f>
        <v/>
      </c>
      <c r="B366" s="69"/>
      <c r="C366" s="65" t="str">
        <f aca="false">IF($B366="","",MONTH($B366))</f>
        <v/>
      </c>
      <c r="D366" s="70"/>
      <c r="E366" s="70"/>
      <c r="F366" s="70"/>
      <c r="G366" s="70"/>
      <c r="H366" s="70"/>
      <c r="I366" s="70"/>
      <c r="J366" s="71"/>
      <c r="K366" s="72"/>
      <c r="L366" s="4"/>
      <c r="M366" s="4"/>
      <c r="N366" s="4"/>
      <c r="O366" s="4"/>
      <c r="P366" s="4"/>
      <c r="Q366" s="4"/>
    </row>
    <row r="367" customFormat="false" ht="18" hidden="false" customHeight="true" outlineLevel="0" collapsed="false">
      <c r="A367" s="63" t="str">
        <f aca="false">IF($B367="","","PG-"&amp;TEXT(ROW()-5,"0000"))</f>
        <v/>
      </c>
      <c r="B367" s="64"/>
      <c r="C367" s="65" t="str">
        <f aca="false">IF($B367="","",MONTH($B367))</f>
        <v/>
      </c>
      <c r="D367" s="66"/>
      <c r="E367" s="66"/>
      <c r="F367" s="66"/>
      <c r="G367" s="66"/>
      <c r="H367" s="66"/>
      <c r="I367" s="66"/>
      <c r="J367" s="67"/>
      <c r="K367" s="68"/>
      <c r="L367" s="4"/>
      <c r="M367" s="4"/>
      <c r="N367" s="4"/>
      <c r="O367" s="4"/>
      <c r="P367" s="4"/>
      <c r="Q367" s="4"/>
    </row>
    <row r="368" customFormat="false" ht="18" hidden="false" customHeight="true" outlineLevel="0" collapsed="false">
      <c r="A368" s="63" t="str">
        <f aca="false">IF($B368="","","PG-"&amp;TEXT(ROW()-5,"0000"))</f>
        <v/>
      </c>
      <c r="B368" s="69"/>
      <c r="C368" s="65" t="str">
        <f aca="false">IF($B368="","",MONTH($B368))</f>
        <v/>
      </c>
      <c r="D368" s="70"/>
      <c r="E368" s="70"/>
      <c r="F368" s="70"/>
      <c r="G368" s="70"/>
      <c r="H368" s="70"/>
      <c r="I368" s="70"/>
      <c r="J368" s="71"/>
      <c r="K368" s="72"/>
      <c r="L368" s="4"/>
      <c r="M368" s="4"/>
      <c r="N368" s="4"/>
      <c r="O368" s="4"/>
      <c r="P368" s="4"/>
      <c r="Q368" s="4"/>
    </row>
    <row r="369" customFormat="false" ht="18" hidden="false" customHeight="true" outlineLevel="0" collapsed="false">
      <c r="A369" s="63" t="str">
        <f aca="false">IF($B369="","","PG-"&amp;TEXT(ROW()-5,"0000"))</f>
        <v/>
      </c>
      <c r="B369" s="64"/>
      <c r="C369" s="65" t="str">
        <f aca="false">IF($B369="","",MONTH($B369))</f>
        <v/>
      </c>
      <c r="D369" s="66"/>
      <c r="E369" s="66"/>
      <c r="F369" s="66"/>
      <c r="G369" s="66"/>
      <c r="H369" s="66"/>
      <c r="I369" s="66"/>
      <c r="J369" s="67"/>
      <c r="K369" s="68"/>
      <c r="L369" s="4"/>
      <c r="M369" s="4"/>
      <c r="N369" s="4"/>
      <c r="O369" s="4"/>
      <c r="P369" s="4"/>
      <c r="Q369" s="4"/>
    </row>
    <row r="370" customFormat="false" ht="18" hidden="false" customHeight="true" outlineLevel="0" collapsed="false">
      <c r="A370" s="63" t="str">
        <f aca="false">IF($B370="","","PG-"&amp;TEXT(ROW()-5,"0000"))</f>
        <v/>
      </c>
      <c r="B370" s="69"/>
      <c r="C370" s="65" t="str">
        <f aca="false">IF($B370="","",MONTH($B370))</f>
        <v/>
      </c>
      <c r="D370" s="70"/>
      <c r="E370" s="70"/>
      <c r="F370" s="70"/>
      <c r="G370" s="70"/>
      <c r="H370" s="70"/>
      <c r="I370" s="70"/>
      <c r="J370" s="71"/>
      <c r="K370" s="72"/>
      <c r="L370" s="4"/>
      <c r="M370" s="4"/>
      <c r="N370" s="4"/>
      <c r="O370" s="4"/>
      <c r="P370" s="4"/>
      <c r="Q370" s="4"/>
    </row>
    <row r="371" customFormat="false" ht="18" hidden="false" customHeight="true" outlineLevel="0" collapsed="false">
      <c r="A371" s="63" t="str">
        <f aca="false">IF($B371="","","PG-"&amp;TEXT(ROW()-5,"0000"))</f>
        <v/>
      </c>
      <c r="B371" s="64"/>
      <c r="C371" s="65" t="str">
        <f aca="false">IF($B371="","",MONTH($B371))</f>
        <v/>
      </c>
      <c r="D371" s="66"/>
      <c r="E371" s="66"/>
      <c r="F371" s="66"/>
      <c r="G371" s="66"/>
      <c r="H371" s="66"/>
      <c r="I371" s="66"/>
      <c r="J371" s="67"/>
      <c r="K371" s="68"/>
      <c r="L371" s="4"/>
      <c r="M371" s="4"/>
      <c r="N371" s="4"/>
      <c r="O371" s="4"/>
      <c r="P371" s="4"/>
      <c r="Q371" s="4"/>
    </row>
    <row r="372" customFormat="false" ht="18" hidden="false" customHeight="true" outlineLevel="0" collapsed="false">
      <c r="A372" s="63" t="str">
        <f aca="false">IF($B372="","","PG-"&amp;TEXT(ROW()-5,"0000"))</f>
        <v/>
      </c>
      <c r="B372" s="69"/>
      <c r="C372" s="65" t="str">
        <f aca="false">IF($B372="","",MONTH($B372))</f>
        <v/>
      </c>
      <c r="D372" s="70"/>
      <c r="E372" s="70"/>
      <c r="F372" s="70"/>
      <c r="G372" s="70"/>
      <c r="H372" s="70"/>
      <c r="I372" s="70"/>
      <c r="J372" s="71"/>
      <c r="K372" s="72"/>
      <c r="L372" s="4"/>
      <c r="M372" s="4"/>
      <c r="N372" s="4"/>
      <c r="O372" s="4"/>
      <c r="P372" s="4"/>
      <c r="Q372" s="4"/>
    </row>
    <row r="373" customFormat="false" ht="18" hidden="false" customHeight="true" outlineLevel="0" collapsed="false">
      <c r="A373" s="63" t="str">
        <f aca="false">IF($B373="","","PG-"&amp;TEXT(ROW()-5,"0000"))</f>
        <v/>
      </c>
      <c r="B373" s="64"/>
      <c r="C373" s="65" t="str">
        <f aca="false">IF($B373="","",MONTH($B373))</f>
        <v/>
      </c>
      <c r="D373" s="66"/>
      <c r="E373" s="66"/>
      <c r="F373" s="66"/>
      <c r="G373" s="66"/>
      <c r="H373" s="66"/>
      <c r="I373" s="66"/>
      <c r="J373" s="67"/>
      <c r="K373" s="68"/>
      <c r="L373" s="4"/>
      <c r="M373" s="4"/>
      <c r="N373" s="4"/>
      <c r="O373" s="4"/>
      <c r="P373" s="4"/>
      <c r="Q373" s="4"/>
    </row>
    <row r="374" customFormat="false" ht="18" hidden="false" customHeight="true" outlineLevel="0" collapsed="false">
      <c r="A374" s="63" t="str">
        <f aca="false">IF($B374="","","PG-"&amp;TEXT(ROW()-5,"0000"))</f>
        <v/>
      </c>
      <c r="B374" s="69"/>
      <c r="C374" s="65" t="str">
        <f aca="false">IF($B374="","",MONTH($B374))</f>
        <v/>
      </c>
      <c r="D374" s="70"/>
      <c r="E374" s="70"/>
      <c r="F374" s="70"/>
      <c r="G374" s="70"/>
      <c r="H374" s="70"/>
      <c r="I374" s="70"/>
      <c r="J374" s="71"/>
      <c r="K374" s="72"/>
      <c r="L374" s="4"/>
      <c r="M374" s="4"/>
      <c r="N374" s="4"/>
      <c r="O374" s="4"/>
      <c r="P374" s="4"/>
      <c r="Q374" s="4"/>
    </row>
    <row r="375" customFormat="false" ht="18" hidden="false" customHeight="true" outlineLevel="0" collapsed="false">
      <c r="A375" s="63" t="str">
        <f aca="false">IF($B375="","","PG-"&amp;TEXT(ROW()-5,"0000"))</f>
        <v/>
      </c>
      <c r="B375" s="64"/>
      <c r="C375" s="65" t="str">
        <f aca="false">IF($B375="","",MONTH($B375))</f>
        <v/>
      </c>
      <c r="D375" s="66"/>
      <c r="E375" s="66"/>
      <c r="F375" s="66"/>
      <c r="G375" s="66"/>
      <c r="H375" s="66"/>
      <c r="I375" s="66"/>
      <c r="J375" s="67"/>
      <c r="K375" s="68"/>
      <c r="L375" s="4"/>
      <c r="M375" s="4"/>
      <c r="N375" s="4"/>
      <c r="O375" s="4"/>
      <c r="P375" s="4"/>
      <c r="Q375" s="4"/>
    </row>
    <row r="376" customFormat="false" ht="18" hidden="false" customHeight="true" outlineLevel="0" collapsed="false">
      <c r="A376" s="63" t="str">
        <f aca="false">IF($B376="","","PG-"&amp;TEXT(ROW()-5,"0000"))</f>
        <v/>
      </c>
      <c r="B376" s="69"/>
      <c r="C376" s="65" t="str">
        <f aca="false">IF($B376="","",MONTH($B376))</f>
        <v/>
      </c>
      <c r="D376" s="70"/>
      <c r="E376" s="70"/>
      <c r="F376" s="70"/>
      <c r="G376" s="70"/>
      <c r="H376" s="70"/>
      <c r="I376" s="70"/>
      <c r="J376" s="71"/>
      <c r="K376" s="72"/>
      <c r="L376" s="4"/>
      <c r="M376" s="4"/>
      <c r="N376" s="4"/>
      <c r="O376" s="4"/>
      <c r="P376" s="4"/>
      <c r="Q376" s="4"/>
    </row>
    <row r="377" customFormat="false" ht="18" hidden="false" customHeight="true" outlineLevel="0" collapsed="false">
      <c r="A377" s="63" t="str">
        <f aca="false">IF($B377="","","PG-"&amp;TEXT(ROW()-5,"0000"))</f>
        <v/>
      </c>
      <c r="B377" s="64"/>
      <c r="C377" s="65" t="str">
        <f aca="false">IF($B377="","",MONTH($B377))</f>
        <v/>
      </c>
      <c r="D377" s="66"/>
      <c r="E377" s="66"/>
      <c r="F377" s="66"/>
      <c r="G377" s="66"/>
      <c r="H377" s="66"/>
      <c r="I377" s="66"/>
      <c r="J377" s="67"/>
      <c r="K377" s="68"/>
      <c r="L377" s="4"/>
      <c r="M377" s="4"/>
      <c r="N377" s="4"/>
      <c r="O377" s="4"/>
      <c r="P377" s="4"/>
      <c r="Q377" s="4"/>
    </row>
    <row r="378" customFormat="false" ht="18" hidden="false" customHeight="true" outlineLevel="0" collapsed="false">
      <c r="A378" s="63" t="str">
        <f aca="false">IF($B378="","","PG-"&amp;TEXT(ROW()-5,"0000"))</f>
        <v/>
      </c>
      <c r="B378" s="69"/>
      <c r="C378" s="65" t="str">
        <f aca="false">IF($B378="","",MONTH($B378))</f>
        <v/>
      </c>
      <c r="D378" s="70"/>
      <c r="E378" s="70"/>
      <c r="F378" s="70"/>
      <c r="G378" s="70"/>
      <c r="H378" s="70"/>
      <c r="I378" s="70"/>
      <c r="J378" s="71"/>
      <c r="K378" s="72"/>
      <c r="L378" s="4"/>
      <c r="M378" s="4"/>
      <c r="N378" s="4"/>
      <c r="O378" s="4"/>
      <c r="P378" s="4"/>
      <c r="Q378" s="4"/>
    </row>
    <row r="379" customFormat="false" ht="18" hidden="false" customHeight="true" outlineLevel="0" collapsed="false">
      <c r="A379" s="63" t="str">
        <f aca="false">IF($B379="","","PG-"&amp;TEXT(ROW()-5,"0000"))</f>
        <v/>
      </c>
      <c r="B379" s="64"/>
      <c r="C379" s="65" t="str">
        <f aca="false">IF($B379="","",MONTH($B379))</f>
        <v/>
      </c>
      <c r="D379" s="66"/>
      <c r="E379" s="66"/>
      <c r="F379" s="66"/>
      <c r="G379" s="66"/>
      <c r="H379" s="66"/>
      <c r="I379" s="66"/>
      <c r="J379" s="67"/>
      <c r="K379" s="68"/>
      <c r="L379" s="4"/>
      <c r="M379" s="4"/>
      <c r="N379" s="4"/>
      <c r="O379" s="4"/>
      <c r="P379" s="4"/>
      <c r="Q379" s="4"/>
    </row>
    <row r="380" customFormat="false" ht="18" hidden="false" customHeight="true" outlineLevel="0" collapsed="false">
      <c r="A380" s="63" t="str">
        <f aca="false">IF($B380="","","PG-"&amp;TEXT(ROW()-5,"0000"))</f>
        <v/>
      </c>
      <c r="B380" s="69"/>
      <c r="C380" s="65" t="str">
        <f aca="false">IF($B380="","",MONTH($B380))</f>
        <v/>
      </c>
      <c r="D380" s="70"/>
      <c r="E380" s="70"/>
      <c r="F380" s="70"/>
      <c r="G380" s="70"/>
      <c r="H380" s="70"/>
      <c r="I380" s="70"/>
      <c r="J380" s="71"/>
      <c r="K380" s="72"/>
      <c r="L380" s="4"/>
      <c r="M380" s="4"/>
      <c r="N380" s="4"/>
      <c r="O380" s="4"/>
      <c r="P380" s="4"/>
      <c r="Q380" s="4"/>
    </row>
    <row r="381" customFormat="false" ht="18" hidden="false" customHeight="true" outlineLevel="0" collapsed="false">
      <c r="A381" s="63" t="str">
        <f aca="false">IF($B381="","","PG-"&amp;TEXT(ROW()-5,"0000"))</f>
        <v/>
      </c>
      <c r="B381" s="64"/>
      <c r="C381" s="65" t="str">
        <f aca="false">IF($B381="","",MONTH($B381))</f>
        <v/>
      </c>
      <c r="D381" s="66"/>
      <c r="E381" s="66"/>
      <c r="F381" s="66"/>
      <c r="G381" s="66"/>
      <c r="H381" s="66"/>
      <c r="I381" s="66"/>
      <c r="J381" s="67"/>
      <c r="K381" s="68"/>
      <c r="L381" s="4"/>
      <c r="M381" s="4"/>
      <c r="N381" s="4"/>
      <c r="O381" s="4"/>
      <c r="P381" s="4"/>
      <c r="Q381" s="4"/>
    </row>
    <row r="382" customFormat="false" ht="18" hidden="false" customHeight="true" outlineLevel="0" collapsed="false">
      <c r="A382" s="63" t="str">
        <f aca="false">IF($B382="","","PG-"&amp;TEXT(ROW()-5,"0000"))</f>
        <v/>
      </c>
      <c r="B382" s="69"/>
      <c r="C382" s="65" t="str">
        <f aca="false">IF($B382="","",MONTH($B382))</f>
        <v/>
      </c>
      <c r="D382" s="70"/>
      <c r="E382" s="70"/>
      <c r="F382" s="70"/>
      <c r="G382" s="70"/>
      <c r="H382" s="70"/>
      <c r="I382" s="70"/>
      <c r="J382" s="71"/>
      <c r="K382" s="72"/>
      <c r="L382" s="4"/>
      <c r="M382" s="4"/>
      <c r="N382" s="4"/>
      <c r="O382" s="4"/>
      <c r="P382" s="4"/>
      <c r="Q382" s="4"/>
    </row>
    <row r="383" customFormat="false" ht="18" hidden="false" customHeight="true" outlineLevel="0" collapsed="false">
      <c r="A383" s="63" t="str">
        <f aca="false">IF($B383="","","PG-"&amp;TEXT(ROW()-5,"0000"))</f>
        <v/>
      </c>
      <c r="B383" s="64"/>
      <c r="C383" s="65" t="str">
        <f aca="false">IF($B383="","",MONTH($B383))</f>
        <v/>
      </c>
      <c r="D383" s="66"/>
      <c r="E383" s="66"/>
      <c r="F383" s="66"/>
      <c r="G383" s="66"/>
      <c r="H383" s="66"/>
      <c r="I383" s="66"/>
      <c r="J383" s="67"/>
      <c r="K383" s="68"/>
      <c r="L383" s="4"/>
      <c r="M383" s="4"/>
      <c r="N383" s="4"/>
      <c r="O383" s="4"/>
      <c r="P383" s="4"/>
      <c r="Q383" s="4"/>
    </row>
    <row r="384" customFormat="false" ht="18" hidden="false" customHeight="true" outlineLevel="0" collapsed="false">
      <c r="A384" s="63" t="str">
        <f aca="false">IF($B384="","","PG-"&amp;TEXT(ROW()-5,"0000"))</f>
        <v/>
      </c>
      <c r="B384" s="69"/>
      <c r="C384" s="65" t="str">
        <f aca="false">IF($B384="","",MONTH($B384))</f>
        <v/>
      </c>
      <c r="D384" s="70"/>
      <c r="E384" s="70"/>
      <c r="F384" s="70"/>
      <c r="G384" s="70"/>
      <c r="H384" s="70"/>
      <c r="I384" s="70"/>
      <c r="J384" s="71"/>
      <c r="K384" s="72"/>
      <c r="L384" s="4"/>
      <c r="M384" s="4"/>
      <c r="N384" s="4"/>
      <c r="O384" s="4"/>
      <c r="P384" s="4"/>
      <c r="Q384" s="4"/>
    </row>
    <row r="385" customFormat="false" ht="18" hidden="false" customHeight="true" outlineLevel="0" collapsed="false">
      <c r="A385" s="63" t="str">
        <f aca="false">IF($B385="","","PG-"&amp;TEXT(ROW()-5,"0000"))</f>
        <v/>
      </c>
      <c r="B385" s="64"/>
      <c r="C385" s="65" t="str">
        <f aca="false">IF($B385="","",MONTH($B385))</f>
        <v/>
      </c>
      <c r="D385" s="66"/>
      <c r="E385" s="66"/>
      <c r="F385" s="66"/>
      <c r="G385" s="66"/>
      <c r="H385" s="66"/>
      <c r="I385" s="66"/>
      <c r="J385" s="67"/>
      <c r="K385" s="68"/>
      <c r="L385" s="4"/>
      <c r="M385" s="4"/>
      <c r="N385" s="4"/>
      <c r="O385" s="4"/>
      <c r="P385" s="4"/>
      <c r="Q385" s="4"/>
    </row>
    <row r="386" customFormat="false" ht="18" hidden="false" customHeight="true" outlineLevel="0" collapsed="false">
      <c r="A386" s="63" t="str">
        <f aca="false">IF($B386="","","PG-"&amp;TEXT(ROW()-5,"0000"))</f>
        <v/>
      </c>
      <c r="B386" s="69"/>
      <c r="C386" s="65" t="str">
        <f aca="false">IF($B386="","",MONTH($B386))</f>
        <v/>
      </c>
      <c r="D386" s="70"/>
      <c r="E386" s="70"/>
      <c r="F386" s="70"/>
      <c r="G386" s="70"/>
      <c r="H386" s="70"/>
      <c r="I386" s="70"/>
      <c r="J386" s="71"/>
      <c r="K386" s="72"/>
      <c r="L386" s="4"/>
      <c r="M386" s="4"/>
      <c r="N386" s="4"/>
      <c r="O386" s="4"/>
      <c r="P386" s="4"/>
      <c r="Q386" s="4"/>
    </row>
    <row r="387" customFormat="false" ht="18" hidden="false" customHeight="true" outlineLevel="0" collapsed="false">
      <c r="A387" s="63" t="str">
        <f aca="false">IF($B387="","","PG-"&amp;TEXT(ROW()-5,"0000"))</f>
        <v/>
      </c>
      <c r="B387" s="64"/>
      <c r="C387" s="65" t="str">
        <f aca="false">IF($B387="","",MONTH($B387))</f>
        <v/>
      </c>
      <c r="D387" s="66"/>
      <c r="E387" s="66"/>
      <c r="F387" s="66"/>
      <c r="G387" s="66"/>
      <c r="H387" s="66"/>
      <c r="I387" s="66"/>
      <c r="J387" s="67"/>
      <c r="K387" s="68"/>
      <c r="L387" s="4"/>
      <c r="M387" s="4"/>
      <c r="N387" s="4"/>
      <c r="O387" s="4"/>
      <c r="P387" s="4"/>
      <c r="Q387" s="4"/>
    </row>
    <row r="388" customFormat="false" ht="18" hidden="false" customHeight="true" outlineLevel="0" collapsed="false">
      <c r="A388" s="63" t="str">
        <f aca="false">IF($B388="","","PG-"&amp;TEXT(ROW()-5,"0000"))</f>
        <v/>
      </c>
      <c r="B388" s="69"/>
      <c r="C388" s="65" t="str">
        <f aca="false">IF($B388="","",MONTH($B388))</f>
        <v/>
      </c>
      <c r="D388" s="70"/>
      <c r="E388" s="70"/>
      <c r="F388" s="70"/>
      <c r="G388" s="70"/>
      <c r="H388" s="70"/>
      <c r="I388" s="70"/>
      <c r="J388" s="71"/>
      <c r="K388" s="72"/>
      <c r="L388" s="4"/>
      <c r="M388" s="4"/>
      <c r="N388" s="4"/>
      <c r="O388" s="4"/>
      <c r="P388" s="4"/>
      <c r="Q388" s="4"/>
    </row>
    <row r="389" customFormat="false" ht="18" hidden="false" customHeight="true" outlineLevel="0" collapsed="false">
      <c r="A389" s="63" t="str">
        <f aca="false">IF($B389="","","PG-"&amp;TEXT(ROW()-5,"0000"))</f>
        <v/>
      </c>
      <c r="B389" s="64"/>
      <c r="C389" s="65" t="str">
        <f aca="false">IF($B389="","",MONTH($B389))</f>
        <v/>
      </c>
      <c r="D389" s="66"/>
      <c r="E389" s="66"/>
      <c r="F389" s="66"/>
      <c r="G389" s="66"/>
      <c r="H389" s="66"/>
      <c r="I389" s="66"/>
      <c r="J389" s="67"/>
      <c r="K389" s="68"/>
      <c r="L389" s="4"/>
      <c r="M389" s="4"/>
      <c r="N389" s="4"/>
      <c r="O389" s="4"/>
      <c r="P389" s="4"/>
      <c r="Q389" s="4"/>
    </row>
    <row r="390" customFormat="false" ht="18" hidden="false" customHeight="true" outlineLevel="0" collapsed="false">
      <c r="A390" s="63" t="str">
        <f aca="false">IF($B390="","","PG-"&amp;TEXT(ROW()-5,"0000"))</f>
        <v/>
      </c>
      <c r="B390" s="69"/>
      <c r="C390" s="65" t="str">
        <f aca="false">IF($B390="","",MONTH($B390))</f>
        <v/>
      </c>
      <c r="D390" s="70"/>
      <c r="E390" s="70"/>
      <c r="F390" s="70"/>
      <c r="G390" s="70"/>
      <c r="H390" s="70"/>
      <c r="I390" s="70"/>
      <c r="J390" s="71"/>
      <c r="K390" s="72"/>
      <c r="L390" s="4"/>
      <c r="M390" s="4"/>
      <c r="N390" s="4"/>
      <c r="O390" s="4"/>
      <c r="P390" s="4"/>
      <c r="Q390" s="4"/>
    </row>
    <row r="391" customFormat="false" ht="18" hidden="false" customHeight="true" outlineLevel="0" collapsed="false">
      <c r="A391" s="63" t="str">
        <f aca="false">IF($B391="","","PG-"&amp;TEXT(ROW()-5,"0000"))</f>
        <v/>
      </c>
      <c r="B391" s="64"/>
      <c r="C391" s="65" t="str">
        <f aca="false">IF($B391="","",MONTH($B391))</f>
        <v/>
      </c>
      <c r="D391" s="66"/>
      <c r="E391" s="66"/>
      <c r="F391" s="66"/>
      <c r="G391" s="66"/>
      <c r="H391" s="66"/>
      <c r="I391" s="66"/>
      <c r="J391" s="67"/>
      <c r="K391" s="68"/>
      <c r="L391" s="4"/>
      <c r="M391" s="4"/>
      <c r="N391" s="4"/>
      <c r="O391" s="4"/>
      <c r="P391" s="4"/>
      <c r="Q391" s="4"/>
    </row>
    <row r="392" customFormat="false" ht="18" hidden="false" customHeight="true" outlineLevel="0" collapsed="false">
      <c r="A392" s="63" t="str">
        <f aca="false">IF($B392="","","PG-"&amp;TEXT(ROW()-5,"0000"))</f>
        <v/>
      </c>
      <c r="B392" s="69"/>
      <c r="C392" s="65" t="str">
        <f aca="false">IF($B392="","",MONTH($B392))</f>
        <v/>
      </c>
      <c r="D392" s="70"/>
      <c r="E392" s="70"/>
      <c r="F392" s="70"/>
      <c r="G392" s="70"/>
      <c r="H392" s="70"/>
      <c r="I392" s="70"/>
      <c r="J392" s="71"/>
      <c r="K392" s="72"/>
      <c r="L392" s="4"/>
      <c r="M392" s="4"/>
      <c r="N392" s="4"/>
      <c r="O392" s="4"/>
      <c r="P392" s="4"/>
      <c r="Q392" s="4"/>
    </row>
    <row r="393" customFormat="false" ht="18" hidden="false" customHeight="true" outlineLevel="0" collapsed="false">
      <c r="A393" s="63" t="str">
        <f aca="false">IF($B393="","","PG-"&amp;TEXT(ROW()-5,"0000"))</f>
        <v/>
      </c>
      <c r="B393" s="64"/>
      <c r="C393" s="65" t="str">
        <f aca="false">IF($B393="","",MONTH($B393))</f>
        <v/>
      </c>
      <c r="D393" s="66"/>
      <c r="E393" s="66"/>
      <c r="F393" s="66"/>
      <c r="G393" s="66"/>
      <c r="H393" s="66"/>
      <c r="I393" s="66"/>
      <c r="J393" s="67"/>
      <c r="K393" s="68"/>
      <c r="L393" s="4"/>
      <c r="M393" s="4"/>
      <c r="N393" s="4"/>
      <c r="O393" s="4"/>
      <c r="P393" s="4"/>
      <c r="Q393" s="4"/>
    </row>
    <row r="394" customFormat="false" ht="18" hidden="false" customHeight="true" outlineLevel="0" collapsed="false">
      <c r="A394" s="63" t="str">
        <f aca="false">IF($B394="","","PG-"&amp;TEXT(ROW()-5,"0000"))</f>
        <v/>
      </c>
      <c r="B394" s="69"/>
      <c r="C394" s="65" t="str">
        <f aca="false">IF($B394="","",MONTH($B394))</f>
        <v/>
      </c>
      <c r="D394" s="70"/>
      <c r="E394" s="70"/>
      <c r="F394" s="70"/>
      <c r="G394" s="70"/>
      <c r="H394" s="70"/>
      <c r="I394" s="70"/>
      <c r="J394" s="71"/>
      <c r="K394" s="72"/>
      <c r="L394" s="4"/>
      <c r="M394" s="4"/>
      <c r="N394" s="4"/>
      <c r="O394" s="4"/>
      <c r="P394" s="4"/>
      <c r="Q394" s="4"/>
    </row>
    <row r="395" customFormat="false" ht="18" hidden="false" customHeight="true" outlineLevel="0" collapsed="false">
      <c r="A395" s="63" t="str">
        <f aca="false">IF($B395="","","PG-"&amp;TEXT(ROW()-5,"0000"))</f>
        <v/>
      </c>
      <c r="B395" s="64"/>
      <c r="C395" s="65" t="str">
        <f aca="false">IF($B395="","",MONTH($B395))</f>
        <v/>
      </c>
      <c r="D395" s="66"/>
      <c r="E395" s="66"/>
      <c r="F395" s="66"/>
      <c r="G395" s="66"/>
      <c r="H395" s="66"/>
      <c r="I395" s="66"/>
      <c r="J395" s="67"/>
      <c r="K395" s="68"/>
      <c r="L395" s="4"/>
      <c r="M395" s="4"/>
      <c r="N395" s="4"/>
      <c r="O395" s="4"/>
      <c r="P395" s="4"/>
      <c r="Q395" s="4"/>
    </row>
    <row r="396" customFormat="false" ht="18" hidden="false" customHeight="true" outlineLevel="0" collapsed="false">
      <c r="A396" s="63" t="str">
        <f aca="false">IF($B396="","","PG-"&amp;TEXT(ROW()-5,"0000"))</f>
        <v/>
      </c>
      <c r="B396" s="69"/>
      <c r="C396" s="65" t="str">
        <f aca="false">IF($B396="","",MONTH($B396))</f>
        <v/>
      </c>
      <c r="D396" s="70"/>
      <c r="E396" s="70"/>
      <c r="F396" s="70"/>
      <c r="G396" s="70"/>
      <c r="H396" s="70"/>
      <c r="I396" s="70"/>
      <c r="J396" s="71"/>
      <c r="K396" s="72"/>
      <c r="L396" s="4"/>
      <c r="M396" s="4"/>
      <c r="N396" s="4"/>
      <c r="O396" s="4"/>
      <c r="P396" s="4"/>
      <c r="Q396" s="4"/>
    </row>
    <row r="397" customFormat="false" ht="18" hidden="false" customHeight="true" outlineLevel="0" collapsed="false">
      <c r="A397" s="63" t="str">
        <f aca="false">IF($B397="","","PG-"&amp;TEXT(ROW()-5,"0000"))</f>
        <v/>
      </c>
      <c r="B397" s="64"/>
      <c r="C397" s="65" t="str">
        <f aca="false">IF($B397="","",MONTH($B397))</f>
        <v/>
      </c>
      <c r="D397" s="66"/>
      <c r="E397" s="66"/>
      <c r="F397" s="66"/>
      <c r="G397" s="66"/>
      <c r="H397" s="66"/>
      <c r="I397" s="66"/>
      <c r="J397" s="67"/>
      <c r="K397" s="68"/>
      <c r="L397" s="4"/>
      <c r="M397" s="4"/>
      <c r="N397" s="4"/>
      <c r="O397" s="4"/>
      <c r="P397" s="4"/>
      <c r="Q397" s="4"/>
    </row>
    <row r="398" customFormat="false" ht="18" hidden="false" customHeight="true" outlineLevel="0" collapsed="false">
      <c r="A398" s="63" t="str">
        <f aca="false">IF($B398="","","PG-"&amp;TEXT(ROW()-5,"0000"))</f>
        <v/>
      </c>
      <c r="B398" s="69"/>
      <c r="C398" s="65" t="str">
        <f aca="false">IF($B398="","",MONTH($B398))</f>
        <v/>
      </c>
      <c r="D398" s="70"/>
      <c r="E398" s="70"/>
      <c r="F398" s="70"/>
      <c r="G398" s="70"/>
      <c r="H398" s="70"/>
      <c r="I398" s="70"/>
      <c r="J398" s="71"/>
      <c r="K398" s="72"/>
      <c r="L398" s="4"/>
      <c r="M398" s="4"/>
      <c r="N398" s="4"/>
      <c r="O398" s="4"/>
      <c r="P398" s="4"/>
      <c r="Q398" s="4"/>
    </row>
    <row r="399" customFormat="false" ht="18" hidden="false" customHeight="true" outlineLevel="0" collapsed="false">
      <c r="A399" s="63" t="str">
        <f aca="false">IF($B399="","","PG-"&amp;TEXT(ROW()-5,"0000"))</f>
        <v/>
      </c>
      <c r="B399" s="64"/>
      <c r="C399" s="65" t="str">
        <f aca="false">IF($B399="","",MONTH($B399))</f>
        <v/>
      </c>
      <c r="D399" s="66"/>
      <c r="E399" s="66"/>
      <c r="F399" s="66"/>
      <c r="G399" s="66"/>
      <c r="H399" s="66"/>
      <c r="I399" s="66"/>
      <c r="J399" s="67"/>
      <c r="K399" s="68"/>
      <c r="L399" s="4"/>
      <c r="M399" s="4"/>
      <c r="N399" s="4"/>
      <c r="O399" s="4"/>
      <c r="P399" s="4"/>
      <c r="Q399" s="4"/>
    </row>
    <row r="400" customFormat="false" ht="18" hidden="false" customHeight="true" outlineLevel="0" collapsed="false">
      <c r="A400" s="63" t="str">
        <f aca="false">IF($B400="","","PG-"&amp;TEXT(ROW()-5,"0000"))</f>
        <v/>
      </c>
      <c r="B400" s="69"/>
      <c r="C400" s="65" t="str">
        <f aca="false">IF($B400="","",MONTH($B400))</f>
        <v/>
      </c>
      <c r="D400" s="70"/>
      <c r="E400" s="70"/>
      <c r="F400" s="70"/>
      <c r="G400" s="70"/>
      <c r="H400" s="70"/>
      <c r="I400" s="70"/>
      <c r="J400" s="71"/>
      <c r="K400" s="72"/>
      <c r="L400" s="4"/>
      <c r="M400" s="4"/>
      <c r="N400" s="4"/>
      <c r="O400" s="4"/>
      <c r="P400" s="4"/>
      <c r="Q400" s="4"/>
    </row>
    <row r="401" customFormat="false" ht="14.25" hidden="false" customHeight="false" outlineLevel="0" collapsed="false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customFormat="false" ht="14.25" hidden="false" customHeight="false" outlineLevel="0" collapsed="false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customFormat="false" ht="14.25" hidden="false" customHeight="false" outlineLevel="0" collapsed="false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customFormat="false" ht="14.25" hidden="false" customHeight="false" outlineLevel="0" collapsed="false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</sheetData>
  <autoFilter ref="A5:K400"/>
  <mergeCells count="8">
    <mergeCell ref="A1:I1"/>
    <mergeCell ref="J1:K1"/>
    <mergeCell ref="A2:K2"/>
    <mergeCell ref="A3:B3"/>
    <mergeCell ref="C3:D3"/>
    <mergeCell ref="E3:F3"/>
    <mergeCell ref="H3:I3"/>
    <mergeCell ref="J3:K3"/>
  </mergeCells>
  <conditionalFormatting sqref="J6:J400">
    <cfRule type="dataBar" priority="2">
      <dataBar showValue="1" minLength="10" maxLength="90">
        <cfvo type="num" val="0"/>
        <cfvo type="max" val="0"/>
        <color rgb="FFE8CE79"/>
      </dataBar>
      <extLst>
        <ext xmlns:x14="http://schemas.microsoft.com/office/spreadsheetml/2009/9/main" uri="{B025F937-C7B1-47D3-B67F-A62EFF666E3E}">
          <x14:id>{DD92203F-946B-4245-8920-FED45C7DBD66}</x14:id>
        </ext>
      </extLst>
    </cfRule>
  </conditionalFormatting>
  <dataValidations count="6">
    <dataValidation allowBlank="true" error="Pilih dari daftar Master Data." errorStyle="stop" errorTitle="Data tidak valid" operator="between" showDropDown="false" showErrorMessage="true" showInputMessage="false" sqref="D6:D400" type="list">
      <formula1>JenisDana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E6:E400" type="list">
      <formula1>KatPengeluaran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F6:F400" type="list">
      <formula1>ProgramList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G6:G400" type="list">
      <formula1>VendorList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H6:H400" type="list">
      <formula1>MetodeList</formula1>
      <formula2>0</formula2>
    </dataValidation>
    <dataValidation allowBlank="true" error="Pilih dari daftar Master Data." errorStyle="stop" errorTitle="Data tidak valid" operator="between" showDropDown="false" showErrorMessage="true" showInputMessage="false" sqref="I6:I400" type="list">
      <formula1>BankList</formula1>
      <formula2>0</formula2>
    </dataValidation>
  </dataValidations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92203F-946B-4245-8920-FED45C7DBD66}">
            <x14:dataBar minLength="10" maxLength="90" axisPosition="none" gradient="true">
              <x14:cfvo type="num">
                <xm:f>0</xm:f>
              </x14:cfvo>
              <x14:cfvo type="max"/>
              <x14:negativeFillColor rgb="FFE8CE79"/>
              <x14:axisColor rgb="FF000000"/>
            </x14:dataBar>
          </x14:cfRule>
          <xm:sqref>J6:J400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true"/>
  </sheetPr>
  <dimension ref="A1:N33"/>
  <sheetViews>
    <sheetView showFormulas="false" showGridLines="false" showRowColHeaders="true" showZeros="true" rightToLeft="false" tabSelected="false" showOutlineSymbols="true" defaultGridColor="true" view="normal" topLeftCell="A16" colorId="64" zoomScale="100" zoomScaleNormal="100" zoomScalePageLayoutView="100" workbookViewId="0">
      <pane xSplit="0" ySplit="5" topLeftCell="A6" activePane="bottomLeft" state="frozen"/>
      <selection pane="topLeft" activeCell="A16" activeCellId="0" sqref="A16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5" min="4" style="0" width="18"/>
    <col collapsed="false" customWidth="true" hidden="false" outlineLevel="0" max="6" min="6" style="0" width="13"/>
    <col collapsed="false" customWidth="true" hidden="false" outlineLevel="0" max="7" min="7" style="0" width="17"/>
    <col collapsed="false" customWidth="true" hidden="false" outlineLevel="0" max="8" min="8" style="0" width="2.4"/>
  </cols>
  <sheetData>
    <row r="1" customFormat="false" ht="33.75" hidden="false" customHeight="true" outlineLevel="0" collapsed="false">
      <c r="A1" s="2" t="s">
        <v>174</v>
      </c>
      <c r="B1" s="2"/>
      <c r="C1" s="2"/>
      <c r="D1" s="2"/>
      <c r="E1" s="2"/>
      <c r="F1" s="2"/>
      <c r="G1" s="28" t="str">
        <f aca="false">HYPERLINK("#Beranda!A1","⌂  Beranda")</f>
        <v>⌂  Beranda</v>
      </c>
      <c r="H1" s="28"/>
      <c r="I1" s="4"/>
      <c r="J1" s="4"/>
      <c r="K1" s="4"/>
      <c r="L1" s="4"/>
      <c r="M1" s="4"/>
      <c r="N1" s="4"/>
    </row>
    <row r="2" customFormat="false" ht="15.75" hidden="false" customHeight="true" outlineLevel="0" collapsed="false">
      <c r="A2" s="5" t="s">
        <v>175</v>
      </c>
      <c r="B2" s="5"/>
      <c r="C2" s="5"/>
      <c r="D2" s="5"/>
      <c r="E2" s="5"/>
      <c r="F2" s="5"/>
      <c r="G2" s="5"/>
      <c r="H2" s="5"/>
      <c r="I2" s="4"/>
      <c r="J2" s="4"/>
      <c r="K2" s="4"/>
      <c r="L2" s="4"/>
      <c r="M2" s="4"/>
      <c r="N2" s="4"/>
    </row>
    <row r="3" customFormat="false" ht="3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4"/>
      <c r="J3" s="4"/>
      <c r="K3" s="4"/>
      <c r="L3" s="4"/>
      <c r="M3" s="4"/>
      <c r="N3" s="4"/>
    </row>
    <row r="4" customFormat="false" ht="21.75" hidden="false" customHeight="true" outlineLevel="0" collapsed="false">
      <c r="A4" s="7" t="s">
        <v>176</v>
      </c>
      <c r="B4" s="7"/>
      <c r="C4" s="7"/>
      <c r="D4" s="7"/>
      <c r="E4" s="7"/>
      <c r="F4" s="7"/>
      <c r="G4" s="7"/>
      <c r="H4" s="31"/>
      <c r="I4" s="4"/>
      <c r="J4" s="4"/>
      <c r="K4" s="4"/>
      <c r="L4" s="4"/>
      <c r="M4" s="4"/>
      <c r="N4" s="4"/>
    </row>
    <row r="5" customFormat="false" ht="25.5" hidden="false" customHeight="true" outlineLevel="0" collapsed="false">
      <c r="A5" s="44" t="s">
        <v>177</v>
      </c>
      <c r="B5" s="56" t="s">
        <v>178</v>
      </c>
      <c r="C5" s="56" t="s">
        <v>179</v>
      </c>
      <c r="D5" s="56" t="s">
        <v>180</v>
      </c>
      <c r="E5" s="56" t="s">
        <v>181</v>
      </c>
      <c r="F5" s="56" t="s">
        <v>182</v>
      </c>
      <c r="G5" s="56" t="s">
        <v>183</v>
      </c>
      <c r="H5" s="31"/>
      <c r="I5" s="4"/>
      <c r="J5" s="4"/>
      <c r="K5" s="4"/>
      <c r="L5" s="4"/>
      <c r="M5" s="4"/>
      <c r="N5" s="4"/>
    </row>
    <row r="6" customFormat="false" ht="18" hidden="false" customHeight="true" outlineLevel="0" collapsed="false">
      <c r="A6" s="75" t="str">
        <f aca="false">Master!$F$5</f>
        <v>Listrik &amp; Air</v>
      </c>
      <c r="B6" s="76" t="n">
        <v>16000000</v>
      </c>
      <c r="C6" s="77" t="n">
        <f aca="false">B6/12</f>
        <v>1333333.33333333</v>
      </c>
      <c r="D6" s="77" t="n">
        <f aca="false">SUMIFS(Pengeluaran!$J$6:$J$400,Pengeluaran!$E$6:$E$400,$A6)</f>
        <v>8235000</v>
      </c>
      <c r="E6" s="77" t="n">
        <f aca="false">B6-D6</f>
        <v>7765000</v>
      </c>
      <c r="F6" s="78" t="n">
        <f aca="false">IF(B6=0,0,D6/B6)</f>
        <v>0.5146875</v>
      </c>
      <c r="G6" s="79" t="str">
        <f aca="false">IF(B6=0,"—",IF(D6&gt;B6,"⚠ Melebihi",IF(D6&gt;0.8*B6,"● Perhatian","✔ Aman")))</f>
        <v>✔ Aman</v>
      </c>
      <c r="H6" s="31"/>
      <c r="I6" s="4"/>
      <c r="J6" s="4"/>
      <c r="K6" s="4"/>
      <c r="L6" s="4"/>
      <c r="M6" s="4"/>
      <c r="N6" s="4"/>
    </row>
    <row r="7" customFormat="false" ht="18" hidden="false" customHeight="true" outlineLevel="0" collapsed="false">
      <c r="A7" s="80" t="str">
        <f aca="false">Master!$F$6</f>
        <v>Kebersihan &amp; Keamanan</v>
      </c>
      <c r="B7" s="81" t="n">
        <v>6000000</v>
      </c>
      <c r="C7" s="82" t="n">
        <f aca="false">B7/12</f>
        <v>500000</v>
      </c>
      <c r="D7" s="82" t="n">
        <f aca="false">SUMIFS(Pengeluaran!$J$6:$J$400,Pengeluaran!$E$6:$E$400,$A7)</f>
        <v>2700000</v>
      </c>
      <c r="E7" s="82" t="n">
        <f aca="false">B7-D7</f>
        <v>3300000</v>
      </c>
      <c r="F7" s="83" t="n">
        <f aca="false">IF(B7=0,0,D7/B7)</f>
        <v>0.45</v>
      </c>
      <c r="G7" s="84" t="str">
        <f aca="false">IF(B7=0,"—",IF(D7&gt;B7,"⚠ Melebihi",IF(D7&gt;0.8*B7,"● Perhatian","✔ Aman")))</f>
        <v>✔ Aman</v>
      </c>
      <c r="H7" s="31"/>
      <c r="I7" s="4"/>
      <c r="J7" s="4"/>
      <c r="K7" s="4"/>
      <c r="L7" s="4"/>
      <c r="M7" s="4"/>
      <c r="N7" s="4"/>
    </row>
    <row r="8" customFormat="false" ht="18" hidden="false" customHeight="true" outlineLevel="0" collapsed="false">
      <c r="A8" s="75" t="str">
        <f aca="false">Master!$F$7</f>
        <v>Honorarium</v>
      </c>
      <c r="B8" s="76" t="n">
        <v>45000000</v>
      </c>
      <c r="C8" s="77" t="n">
        <f aca="false">B8/12</f>
        <v>3750000</v>
      </c>
      <c r="D8" s="77" t="n">
        <f aca="false">SUMIFS(Pengeluaran!$J$6:$J$400,Pengeluaran!$E$6:$E$400,$A8)</f>
        <v>21000000</v>
      </c>
      <c r="E8" s="77" t="n">
        <f aca="false">B8-D8</f>
        <v>24000000</v>
      </c>
      <c r="F8" s="78" t="n">
        <f aca="false">IF(B8=0,0,D8/B8)</f>
        <v>0.466666666666667</v>
      </c>
      <c r="G8" s="79" t="str">
        <f aca="false">IF(B8=0,"—",IF(D8&gt;B8,"⚠ Melebihi",IF(D8&gt;0.8*B8,"● Perhatian","✔ Aman")))</f>
        <v>✔ Aman</v>
      </c>
      <c r="H8" s="31"/>
      <c r="I8" s="4"/>
      <c r="J8" s="4"/>
      <c r="K8" s="4"/>
      <c r="L8" s="4"/>
      <c r="M8" s="4"/>
      <c r="N8" s="4"/>
    </row>
    <row r="9" customFormat="false" ht="18" hidden="false" customHeight="true" outlineLevel="0" collapsed="false">
      <c r="A9" s="80" t="str">
        <f aca="false">Master!$F$8</f>
        <v>Kegiatan Dakwah</v>
      </c>
      <c r="B9" s="81" t="n">
        <v>12000000</v>
      </c>
      <c r="C9" s="82" t="n">
        <f aca="false">B9/12</f>
        <v>1000000</v>
      </c>
      <c r="D9" s="82" t="n">
        <f aca="false">SUMIFS(Pengeluaran!$J$6:$J$400,Pengeluaran!$E$6:$E$400,$A9)</f>
        <v>5100000</v>
      </c>
      <c r="E9" s="82" t="n">
        <f aca="false">B9-D9</f>
        <v>6900000</v>
      </c>
      <c r="F9" s="83" t="n">
        <f aca="false">IF(B9=0,0,D9/B9)</f>
        <v>0.425</v>
      </c>
      <c r="G9" s="84" t="str">
        <f aca="false">IF(B9=0,"—",IF(D9&gt;B9,"⚠ Melebihi",IF(D9&gt;0.8*B9,"● Perhatian","✔ Aman")))</f>
        <v>✔ Aman</v>
      </c>
      <c r="H9" s="31"/>
      <c r="I9" s="4"/>
      <c r="J9" s="4"/>
      <c r="K9" s="4"/>
      <c r="L9" s="4"/>
      <c r="M9" s="4"/>
      <c r="N9" s="4"/>
    </row>
    <row r="10" customFormat="false" ht="18" hidden="false" customHeight="true" outlineLevel="0" collapsed="false">
      <c r="A10" s="75" t="str">
        <f aca="false">Master!$F$9</f>
        <v>Pendidikan (TPA)</v>
      </c>
      <c r="B10" s="76" t="n">
        <v>16000000</v>
      </c>
      <c r="C10" s="77" t="n">
        <f aca="false">B10/12</f>
        <v>1333333.33333333</v>
      </c>
      <c r="D10" s="77" t="n">
        <f aca="false">SUMIFS(Pengeluaran!$J$6:$J$400,Pengeluaran!$E$6:$E$400,$A10)</f>
        <v>7200000</v>
      </c>
      <c r="E10" s="77" t="n">
        <f aca="false">B10-D10</f>
        <v>8800000</v>
      </c>
      <c r="F10" s="78" t="n">
        <f aca="false">IF(B10=0,0,D10/B10)</f>
        <v>0.45</v>
      </c>
      <c r="G10" s="79" t="str">
        <f aca="false">IF(B10=0,"—",IF(D10&gt;B10,"⚠ Melebihi",IF(D10&gt;0.8*B10,"● Perhatian","✔ Aman")))</f>
        <v>✔ Aman</v>
      </c>
      <c r="H10" s="31"/>
      <c r="I10" s="4"/>
      <c r="J10" s="4"/>
      <c r="K10" s="4"/>
      <c r="L10" s="4"/>
      <c r="M10" s="4"/>
      <c r="N10" s="4"/>
    </row>
    <row r="11" customFormat="false" ht="18" hidden="false" customHeight="true" outlineLevel="0" collapsed="false">
      <c r="A11" s="80" t="str">
        <f aca="false">Master!$F$10</f>
        <v>Sosial &amp; Santunan</v>
      </c>
      <c r="B11" s="81" t="n">
        <v>60000000</v>
      </c>
      <c r="C11" s="82" t="n">
        <f aca="false">B11/12</f>
        <v>5000000</v>
      </c>
      <c r="D11" s="82" t="n">
        <f aca="false">SUMIFS(Pengeluaran!$J$6:$J$400,Pengeluaran!$E$6:$E$400,$A11)</f>
        <v>26950000</v>
      </c>
      <c r="E11" s="82" t="n">
        <f aca="false">B11-D11</f>
        <v>33050000</v>
      </c>
      <c r="F11" s="83" t="n">
        <f aca="false">IF(B11=0,0,D11/B11)</f>
        <v>0.449166666666667</v>
      </c>
      <c r="G11" s="84" t="str">
        <f aca="false">IF(B11=0,"—",IF(D11&gt;B11,"⚠ Melebihi",IF(D11&gt;0.8*B11,"● Perhatian","✔ Aman")))</f>
        <v>✔ Aman</v>
      </c>
      <c r="H11" s="31"/>
      <c r="I11" s="4"/>
      <c r="J11" s="4"/>
      <c r="K11" s="4"/>
      <c r="L11" s="4"/>
      <c r="M11" s="4"/>
      <c r="N11" s="4"/>
    </row>
    <row r="12" customFormat="false" ht="18" hidden="false" customHeight="true" outlineLevel="0" collapsed="false">
      <c r="A12" s="75" t="str">
        <f aca="false">Master!$F$11</f>
        <v>Ramadan</v>
      </c>
      <c r="B12" s="76" t="n">
        <v>20000000</v>
      </c>
      <c r="C12" s="77" t="n">
        <f aca="false">B12/12</f>
        <v>1666666.66666667</v>
      </c>
      <c r="D12" s="77" t="n">
        <f aca="false">SUMIFS(Pengeluaran!$J$6:$J$400,Pengeluaran!$E$6:$E$400,$A12)</f>
        <v>8850000</v>
      </c>
      <c r="E12" s="77" t="n">
        <f aca="false">B12-D12</f>
        <v>11150000</v>
      </c>
      <c r="F12" s="78" t="n">
        <f aca="false">IF(B12=0,0,D12/B12)</f>
        <v>0.4425</v>
      </c>
      <c r="G12" s="79" t="str">
        <f aca="false">IF(B12=0,"—",IF(D12&gt;B12,"⚠ Melebihi",IF(D12&gt;0.8*B12,"● Perhatian","✔ Aman")))</f>
        <v>✔ Aman</v>
      </c>
      <c r="H12" s="31"/>
      <c r="I12" s="4"/>
      <c r="J12" s="4"/>
      <c r="K12" s="4"/>
      <c r="L12" s="4"/>
      <c r="M12" s="4"/>
      <c r="N12" s="4"/>
    </row>
    <row r="13" customFormat="false" ht="18" hidden="false" customHeight="true" outlineLevel="0" collapsed="false">
      <c r="A13" s="80" t="str">
        <f aca="false">Master!$F$12</f>
        <v>Kurban</v>
      </c>
      <c r="B13" s="81" t="n">
        <v>26000000</v>
      </c>
      <c r="C13" s="82" t="n">
        <f aca="false">B13/12</f>
        <v>2166666.66666667</v>
      </c>
      <c r="D13" s="82" t="n">
        <f aca="false">SUMIFS(Pengeluaran!$J$6:$J$400,Pengeluaran!$E$6:$E$400,$A13)</f>
        <v>0</v>
      </c>
      <c r="E13" s="82" t="n">
        <f aca="false">B13-D13</f>
        <v>26000000</v>
      </c>
      <c r="F13" s="83" t="n">
        <f aca="false">IF(B13=0,0,D13/B13)</f>
        <v>0</v>
      </c>
      <c r="G13" s="84" t="str">
        <f aca="false">IF(B13=0,"—",IF(D13&gt;B13,"⚠ Melebihi",IF(D13&gt;0.8*B13,"● Perhatian","✔ Aman")))</f>
        <v>✔ Aman</v>
      </c>
      <c r="H13" s="31"/>
      <c r="I13" s="4"/>
      <c r="J13" s="4"/>
      <c r="K13" s="4"/>
      <c r="L13" s="4"/>
      <c r="M13" s="4"/>
      <c r="N13" s="4"/>
    </row>
    <row r="14" customFormat="false" ht="18" hidden="false" customHeight="true" outlineLevel="0" collapsed="false">
      <c r="A14" s="75" t="str">
        <f aca="false">Master!$F$13</f>
        <v>Pembangunan</v>
      </c>
      <c r="B14" s="76" t="n">
        <v>90000000</v>
      </c>
      <c r="C14" s="77" t="n">
        <f aca="false">B14/12</f>
        <v>7500000</v>
      </c>
      <c r="D14" s="77" t="n">
        <f aca="false">SUMIFS(Pengeluaran!$J$6:$J$400,Pengeluaran!$E$6:$E$400,$A14)</f>
        <v>44300000</v>
      </c>
      <c r="E14" s="77" t="n">
        <f aca="false">B14-D14</f>
        <v>45700000</v>
      </c>
      <c r="F14" s="78" t="n">
        <f aca="false">IF(B14=0,0,D14/B14)</f>
        <v>0.492222222222222</v>
      </c>
      <c r="G14" s="79" t="str">
        <f aca="false">IF(B14=0,"—",IF(D14&gt;B14,"⚠ Melebihi",IF(D14&gt;0.8*B14,"● Perhatian","✔ Aman")))</f>
        <v>✔ Aman</v>
      </c>
      <c r="H14" s="31"/>
      <c r="I14" s="4"/>
      <c r="J14" s="4"/>
      <c r="K14" s="4"/>
      <c r="L14" s="4"/>
      <c r="M14" s="4"/>
      <c r="N14" s="4"/>
    </row>
    <row r="15" customFormat="false" ht="18" hidden="false" customHeight="true" outlineLevel="0" collapsed="false">
      <c r="A15" s="80" t="str">
        <f aca="false">Master!$F$14</f>
        <v>Pemeliharaan</v>
      </c>
      <c r="B15" s="81" t="n">
        <v>8000000</v>
      </c>
      <c r="C15" s="82" t="n">
        <f aca="false">B15/12</f>
        <v>666666.666666667</v>
      </c>
      <c r="D15" s="82" t="n">
        <f aca="false">SUMIFS(Pengeluaran!$J$6:$J$400,Pengeluaran!$E$6:$E$400,$A15)</f>
        <v>1750000</v>
      </c>
      <c r="E15" s="82" t="n">
        <f aca="false">B15-D15</f>
        <v>6250000</v>
      </c>
      <c r="F15" s="83" t="n">
        <f aca="false">IF(B15=0,0,D15/B15)</f>
        <v>0.21875</v>
      </c>
      <c r="G15" s="84" t="str">
        <f aca="false">IF(B15=0,"—",IF(D15&gt;B15,"⚠ Melebihi",IF(D15&gt;0.8*B15,"● Perhatian","✔ Aman")))</f>
        <v>✔ Aman</v>
      </c>
      <c r="H15" s="31"/>
      <c r="I15" s="4"/>
      <c r="J15" s="4"/>
      <c r="K15" s="4"/>
      <c r="L15" s="4"/>
      <c r="M15" s="4"/>
      <c r="N15" s="4"/>
    </row>
    <row r="16" customFormat="false" ht="18" hidden="false" customHeight="true" outlineLevel="0" collapsed="false">
      <c r="A16" s="75" t="str">
        <f aca="false">Master!$F$15</f>
        <v>Pembelian Aset</v>
      </c>
      <c r="B16" s="76" t="n">
        <v>15000000</v>
      </c>
      <c r="C16" s="77" t="n">
        <f aca="false">B16/12</f>
        <v>1250000</v>
      </c>
      <c r="D16" s="77" t="n">
        <f aca="false">SUMIFS(Pengeluaran!$J$6:$J$400,Pengeluaran!$E$6:$E$400,$A16)</f>
        <v>8500000</v>
      </c>
      <c r="E16" s="77" t="n">
        <f aca="false">B16-D16</f>
        <v>6500000</v>
      </c>
      <c r="F16" s="78" t="n">
        <f aca="false">IF(B16=0,0,D16/B16)</f>
        <v>0.566666666666667</v>
      </c>
      <c r="G16" s="79" t="str">
        <f aca="false">IF(B16=0,"—",IF(D16&gt;B16,"⚠ Melebihi",IF(D16&gt;0.8*B16,"● Perhatian","✔ Aman")))</f>
        <v>✔ Aman</v>
      </c>
      <c r="H16" s="31"/>
      <c r="I16" s="4"/>
      <c r="J16" s="4"/>
      <c r="K16" s="4"/>
      <c r="L16" s="4"/>
      <c r="M16" s="4"/>
      <c r="N16" s="4"/>
    </row>
    <row r="17" customFormat="false" ht="18" hidden="false" customHeight="true" outlineLevel="0" collapsed="false">
      <c r="A17" s="80" t="str">
        <f aca="false">Master!$F$16</f>
        <v>Administrasi &amp; Umum</v>
      </c>
      <c r="B17" s="81" t="n">
        <v>5000000</v>
      </c>
      <c r="C17" s="82" t="n">
        <f aca="false">B17/12</f>
        <v>416666.666666667</v>
      </c>
      <c r="D17" s="82" t="n">
        <f aca="false">SUMIFS(Pengeluaran!$J$6:$J$400,Pengeluaran!$E$6:$E$400,$A17)</f>
        <v>650000</v>
      </c>
      <c r="E17" s="82" t="n">
        <f aca="false">B17-D17</f>
        <v>4350000</v>
      </c>
      <c r="F17" s="83" t="n">
        <f aca="false">IF(B17=0,0,D17/B17)</f>
        <v>0.13</v>
      </c>
      <c r="G17" s="84" t="str">
        <f aca="false">IF(B17=0,"—",IF(D17&gt;B17,"⚠ Melebihi",IF(D17&gt;0.8*B17,"● Perhatian","✔ Aman")))</f>
        <v>✔ Aman</v>
      </c>
      <c r="H17" s="31"/>
      <c r="I17" s="4"/>
      <c r="J17" s="4"/>
      <c r="K17" s="4"/>
      <c r="L17" s="4"/>
      <c r="M17" s="4"/>
      <c r="N17" s="4"/>
    </row>
    <row r="18" customFormat="false" ht="21.75" hidden="false" customHeight="true" outlineLevel="0" collapsed="false">
      <c r="A18" s="85" t="s">
        <v>184</v>
      </c>
      <c r="B18" s="86" t="n">
        <f aca="false">SUM(B6:B17)</f>
        <v>319000000</v>
      </c>
      <c r="C18" s="86" t="n">
        <f aca="false">SUM(C6:C17)</f>
        <v>26583333.3333333</v>
      </c>
      <c r="D18" s="86" t="n">
        <f aca="false">SUM(D6:D17)</f>
        <v>135235000</v>
      </c>
      <c r="E18" s="86" t="n">
        <f aca="false">SUM(E6:E17)</f>
        <v>183765000</v>
      </c>
      <c r="F18" s="87" t="n">
        <f aca="false">IF(B18=0,0,D18/B18)</f>
        <v>0.423934169278997</v>
      </c>
      <c r="G18" s="88"/>
      <c r="H18" s="31"/>
      <c r="I18" s="4"/>
      <c r="J18" s="4"/>
      <c r="K18" s="4"/>
      <c r="L18" s="4"/>
      <c r="M18" s="4"/>
      <c r="N18" s="4"/>
    </row>
    <row r="19" customFormat="false" ht="9.7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4"/>
      <c r="J19" s="4"/>
      <c r="K19" s="4"/>
      <c r="L19" s="4"/>
      <c r="M19" s="4"/>
      <c r="N19" s="4"/>
    </row>
    <row r="20" customFormat="false" ht="21.75" hidden="false" customHeight="true" outlineLevel="0" collapsed="false">
      <c r="A20" s="7" t="s">
        <v>185</v>
      </c>
      <c r="B20" s="7"/>
      <c r="C20" s="7"/>
      <c r="D20" s="7"/>
      <c r="E20" s="7"/>
      <c r="F20" s="7"/>
      <c r="G20" s="7"/>
      <c r="H20" s="31"/>
      <c r="I20" s="4"/>
      <c r="J20" s="4"/>
      <c r="K20" s="4"/>
      <c r="L20" s="4"/>
      <c r="M20" s="4"/>
      <c r="N20" s="4"/>
    </row>
    <row r="21" customFormat="false" ht="25.5" hidden="false" customHeight="true" outlineLevel="0" collapsed="false">
      <c r="A21" s="44" t="s">
        <v>126</v>
      </c>
      <c r="B21" s="56" t="s">
        <v>186</v>
      </c>
      <c r="C21" s="56" t="s">
        <v>187</v>
      </c>
      <c r="D21" s="56" t="s">
        <v>180</v>
      </c>
      <c r="E21" s="56" t="s">
        <v>188</v>
      </c>
      <c r="F21" s="56" t="s">
        <v>189</v>
      </c>
      <c r="G21" s="56" t="s">
        <v>183</v>
      </c>
      <c r="H21" s="31"/>
      <c r="I21" s="4"/>
      <c r="J21" s="4"/>
      <c r="K21" s="4"/>
      <c r="L21" s="4"/>
      <c r="M21" s="4"/>
      <c r="N21" s="4"/>
    </row>
    <row r="22" customFormat="false" ht="18" hidden="false" customHeight="true" outlineLevel="0" collapsed="false">
      <c r="A22" s="75" t="str">
        <f aca="false">Master!$A$5</f>
        <v>Operasional</v>
      </c>
      <c r="B22" s="76" t="n">
        <v>40000000</v>
      </c>
      <c r="C22" s="77" t="n">
        <f aca="false">B22/12</f>
        <v>3333333.33333333</v>
      </c>
      <c r="D22" s="77" t="n">
        <f aca="false">Dashboard!$D$10</f>
        <v>10850000</v>
      </c>
      <c r="E22" s="77" t="n">
        <f aca="false">D22-B22</f>
        <v>-29150000</v>
      </c>
      <c r="F22" s="78" t="n">
        <f aca="false">IF(B22=0,0,D22/B22)</f>
        <v>0.27125</v>
      </c>
      <c r="G22" s="79" t="str">
        <f aca="false">IF(B22=0,"—",IF(D22&gt;=B22,"✔ Tercapai",IF(D22&gt;=0.5*B22,"● On-track","○ Berjalan")))</f>
        <v>○ Berjalan</v>
      </c>
      <c r="H22" s="31"/>
      <c r="I22" s="4"/>
      <c r="J22" s="4"/>
      <c r="K22" s="4"/>
      <c r="L22" s="4"/>
      <c r="M22" s="4"/>
      <c r="N22" s="4"/>
    </row>
    <row r="23" customFormat="false" ht="18" hidden="false" customHeight="true" outlineLevel="0" collapsed="false">
      <c r="A23" s="80" t="str">
        <f aca="false">Master!$A$6</f>
        <v>Pembangunan</v>
      </c>
      <c r="B23" s="81" t="n">
        <v>120000000</v>
      </c>
      <c r="C23" s="82" t="n">
        <f aca="false">B23/12</f>
        <v>10000000</v>
      </c>
      <c r="D23" s="82" t="n">
        <f aca="false">Dashboard!$D$11</f>
        <v>37500000</v>
      </c>
      <c r="E23" s="82" t="n">
        <f aca="false">D23-B23</f>
        <v>-82500000</v>
      </c>
      <c r="F23" s="83" t="n">
        <f aca="false">IF(B23=0,0,D23/B23)</f>
        <v>0.3125</v>
      </c>
      <c r="G23" s="84" t="str">
        <f aca="false">IF(B23=0,"—",IF(D23&gt;=B23,"✔ Tercapai",IF(D23&gt;=0.5*B23,"● On-track","○ Berjalan")))</f>
        <v>○ Berjalan</v>
      </c>
      <c r="H23" s="31"/>
      <c r="I23" s="4"/>
      <c r="J23" s="4"/>
      <c r="K23" s="4"/>
      <c r="L23" s="4"/>
      <c r="M23" s="4"/>
      <c r="N23" s="4"/>
    </row>
    <row r="24" customFormat="false" ht="18" hidden="false" customHeight="true" outlineLevel="0" collapsed="false">
      <c r="A24" s="75" t="str">
        <f aca="false">Master!$A$7</f>
        <v>Zakat</v>
      </c>
      <c r="B24" s="76" t="n">
        <v>60000000</v>
      </c>
      <c r="C24" s="77" t="n">
        <f aca="false">B24/12</f>
        <v>5000000</v>
      </c>
      <c r="D24" s="77" t="n">
        <f aca="false">Dashboard!$D$12</f>
        <v>23400000</v>
      </c>
      <c r="E24" s="77" t="n">
        <f aca="false">D24-B24</f>
        <v>-36600000</v>
      </c>
      <c r="F24" s="78" t="n">
        <f aca="false">IF(B24=0,0,D24/B24)</f>
        <v>0.39</v>
      </c>
      <c r="G24" s="79" t="str">
        <f aca="false">IF(B24=0,"—",IF(D24&gt;=B24,"✔ Tercapai",IF(D24&gt;=0.5*B24,"● On-track","○ Berjalan")))</f>
        <v>○ Berjalan</v>
      </c>
      <c r="H24" s="31"/>
      <c r="I24" s="4"/>
      <c r="J24" s="4"/>
      <c r="K24" s="4"/>
      <c r="L24" s="4"/>
      <c r="M24" s="4"/>
      <c r="N24" s="4"/>
    </row>
    <row r="25" customFormat="false" ht="18" hidden="false" customHeight="true" outlineLevel="0" collapsed="false">
      <c r="A25" s="80" t="str">
        <f aca="false">Master!$A$8</f>
        <v>Infak</v>
      </c>
      <c r="B25" s="81" t="n">
        <v>110000000</v>
      </c>
      <c r="C25" s="82" t="n">
        <f aca="false">B25/12</f>
        <v>9166666.66666667</v>
      </c>
      <c r="D25" s="82" t="n">
        <f aca="false">Dashboard!$D$13</f>
        <v>112040000</v>
      </c>
      <c r="E25" s="82" t="n">
        <f aca="false">D25-B25</f>
        <v>2040000</v>
      </c>
      <c r="F25" s="83" t="n">
        <f aca="false">IF(B25=0,0,D25/B25)</f>
        <v>1.01854545454545</v>
      </c>
      <c r="G25" s="84" t="str">
        <f aca="false">IF(B25=0,"—",IF(D25&gt;=B25,"✔ Tercapai",IF(D25&gt;=0.5*B25,"● On-track","○ Berjalan")))</f>
        <v>✔ Tercapai</v>
      </c>
      <c r="H25" s="31"/>
      <c r="I25" s="4"/>
      <c r="J25" s="4"/>
      <c r="K25" s="4"/>
      <c r="L25" s="4"/>
      <c r="M25" s="4"/>
      <c r="N25" s="4"/>
    </row>
    <row r="26" customFormat="false" ht="18" hidden="false" customHeight="true" outlineLevel="0" collapsed="false">
      <c r="A26" s="75" t="str">
        <f aca="false">Master!$A$9</f>
        <v>Sedekah</v>
      </c>
      <c r="B26" s="76" t="n">
        <v>45000000</v>
      </c>
      <c r="C26" s="77" t="n">
        <f aca="false">B26/12</f>
        <v>3750000</v>
      </c>
      <c r="D26" s="77" t="n">
        <f aca="false">Dashboard!$D$14</f>
        <v>30260000</v>
      </c>
      <c r="E26" s="77" t="n">
        <f aca="false">D26-B26</f>
        <v>-14740000</v>
      </c>
      <c r="F26" s="78" t="n">
        <f aca="false">IF(B26=0,0,D26/B26)</f>
        <v>0.672444444444444</v>
      </c>
      <c r="G26" s="79" t="str">
        <f aca="false">IF(B26=0,"—",IF(D26&gt;=B26,"✔ Tercapai",IF(D26&gt;=0.5*B26,"● On-track","○ Berjalan")))</f>
        <v>● On-track</v>
      </c>
      <c r="H26" s="31"/>
      <c r="I26" s="4"/>
      <c r="J26" s="4"/>
      <c r="K26" s="4"/>
      <c r="L26" s="4"/>
      <c r="M26" s="4"/>
      <c r="N26" s="4"/>
    </row>
    <row r="27" customFormat="false" ht="18" hidden="false" customHeight="true" outlineLevel="0" collapsed="false">
      <c r="A27" s="80" t="str">
        <f aca="false">Master!$A$10</f>
        <v>Wakaf</v>
      </c>
      <c r="B27" s="81" t="n">
        <v>40000000</v>
      </c>
      <c r="C27" s="82" t="n">
        <f aca="false">B27/12</f>
        <v>3333333.33333333</v>
      </c>
      <c r="D27" s="82" t="n">
        <f aca="false">Dashboard!$D$15</f>
        <v>20000000</v>
      </c>
      <c r="E27" s="82" t="n">
        <f aca="false">D27-B27</f>
        <v>-20000000</v>
      </c>
      <c r="F27" s="83" t="n">
        <f aca="false">IF(B27=0,0,D27/B27)</f>
        <v>0.5</v>
      </c>
      <c r="G27" s="84" t="str">
        <f aca="false">IF(B27=0,"—",IF(D27&gt;=B27,"✔ Tercapai",IF(D27&gt;=0.5*B27,"● On-track","○ Berjalan")))</f>
        <v>● On-track</v>
      </c>
      <c r="H27" s="31"/>
      <c r="I27" s="4"/>
      <c r="J27" s="4"/>
      <c r="K27" s="4"/>
      <c r="L27" s="4"/>
      <c r="M27" s="4"/>
      <c r="N27" s="4"/>
    </row>
    <row r="28" customFormat="false" ht="18" hidden="false" customHeight="true" outlineLevel="0" collapsed="false">
      <c r="A28" s="75" t="str">
        <f aca="false">Master!$A$11</f>
        <v>Lainnya</v>
      </c>
      <c r="B28" s="76" t="n">
        <v>15000000</v>
      </c>
      <c r="C28" s="77" t="n">
        <f aca="false">B28/12</f>
        <v>1250000</v>
      </c>
      <c r="D28" s="77" t="n">
        <f aca="false">Dashboard!$D$16</f>
        <v>10000000</v>
      </c>
      <c r="E28" s="77" t="n">
        <f aca="false">D28-B28</f>
        <v>-5000000</v>
      </c>
      <c r="F28" s="78" t="n">
        <f aca="false">IF(B28=0,0,D28/B28)</f>
        <v>0.666666666666667</v>
      </c>
      <c r="G28" s="79" t="str">
        <f aca="false">IF(B28=0,"—",IF(D28&gt;=B28,"✔ Tercapai",IF(D28&gt;=0.5*B28,"● On-track","○ Berjalan")))</f>
        <v>● On-track</v>
      </c>
      <c r="H28" s="31"/>
      <c r="I28" s="4"/>
      <c r="J28" s="4"/>
      <c r="K28" s="4"/>
      <c r="L28" s="4"/>
      <c r="M28" s="4"/>
      <c r="N28" s="4"/>
    </row>
    <row r="29" customFormat="false" ht="21.75" hidden="false" customHeight="true" outlineLevel="0" collapsed="false">
      <c r="A29" s="85" t="s">
        <v>184</v>
      </c>
      <c r="B29" s="86" t="n">
        <f aca="false">SUM(B22:B28)</f>
        <v>430000000</v>
      </c>
      <c r="C29" s="86" t="n">
        <f aca="false">SUM(C22:C28)</f>
        <v>35833333.3333333</v>
      </c>
      <c r="D29" s="86" t="n">
        <f aca="false">SUM(D22:D28)</f>
        <v>244050000</v>
      </c>
      <c r="E29" s="86" t="n">
        <f aca="false">SUM(E22:E28)</f>
        <v>-185950000</v>
      </c>
      <c r="F29" s="87" t="n">
        <f aca="false">IF(B29=0,0,D29/B29)</f>
        <v>0.567558139534884</v>
      </c>
      <c r="G29" s="88"/>
      <c r="H29" s="31"/>
      <c r="I29" s="4"/>
      <c r="J29" s="4"/>
      <c r="K29" s="4"/>
      <c r="L29" s="4"/>
      <c r="M29" s="4"/>
      <c r="N29" s="4"/>
    </row>
    <row r="30" customFormat="false" ht="7.5" hidden="false" customHeight="true" outlineLevel="0" collapsed="false">
      <c r="A30" s="31"/>
      <c r="B30" s="31"/>
      <c r="C30" s="31"/>
      <c r="D30" s="31"/>
      <c r="E30" s="31"/>
      <c r="F30" s="31"/>
      <c r="G30" s="31"/>
      <c r="H30" s="31"/>
      <c r="I30" s="4"/>
      <c r="J30" s="4"/>
      <c r="K30" s="4"/>
      <c r="L30" s="4"/>
      <c r="M30" s="4"/>
      <c r="N30" s="4"/>
    </row>
    <row r="31" customFormat="false" ht="14.25" hidden="false" customHeight="true" outlineLevel="0" collapsed="false">
      <c r="A31" s="27" t="s">
        <v>190</v>
      </c>
      <c r="B31" s="27"/>
      <c r="C31" s="27"/>
      <c r="D31" s="27"/>
      <c r="E31" s="27"/>
      <c r="F31" s="27"/>
      <c r="G31" s="27"/>
      <c r="H31" s="4"/>
      <c r="I31" s="4"/>
      <c r="J31" s="4"/>
      <c r="K31" s="4"/>
      <c r="L31" s="4"/>
      <c r="M31" s="4"/>
      <c r="N31" s="4"/>
    </row>
    <row r="32" customFormat="false" ht="14.25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customFormat="false" ht="14.25" hidden="false" customHeight="fals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mergeCells count="6">
    <mergeCell ref="A1:F1"/>
    <mergeCell ref="G1:H1"/>
    <mergeCell ref="A2:H2"/>
    <mergeCell ref="A4:G4"/>
    <mergeCell ref="A20:G20"/>
    <mergeCell ref="A31:G31"/>
  </mergeCells>
  <conditionalFormatting sqref="F6:F17">
    <cfRule type="dataBar" priority="2">
      <dataBar showValue="1" minLength="10" maxLength="90">
        <cfvo type="num" val="0"/>
        <cfvo type="num" val="1"/>
        <color rgb="FF157A52"/>
      </dataBar>
      <extLst>
        <ext xmlns:x14="http://schemas.microsoft.com/office/spreadsheetml/2009/9/main" uri="{B025F937-C7B1-47D3-B67F-A62EFF666E3E}">
          <x14:id>{9AC18288-80DB-416B-B7E6-EE4982409BA7}</x14:id>
        </ext>
      </extLst>
    </cfRule>
  </conditionalFormatting>
  <conditionalFormatting sqref="G6:G17">
    <cfRule type="expression" priority="3" aboveAverage="0" equalAverage="0" bottom="0" percent="0" rank="0" text="" dxfId="0">
      <formula>LEFT($G6,1)="✔"</formula>
    </cfRule>
    <cfRule type="expression" priority="4" aboveAverage="0" equalAverage="0" bottom="0" percent="0" rank="0" text="" dxfId="1">
      <formula>LEFT($G6,1)="●"</formula>
    </cfRule>
    <cfRule type="expression" priority="5" aboveAverage="0" equalAverage="0" bottom="0" percent="0" rank="0" text="" dxfId="1">
      <formula>LEFT($G6,1)="○"</formula>
    </cfRule>
    <cfRule type="expression" priority="6" aboveAverage="0" equalAverage="0" bottom="0" percent="0" rank="0" text="" dxfId="2">
      <formula>LEFT($G6,1)="⚠"</formula>
    </cfRule>
  </conditionalFormatting>
  <conditionalFormatting sqref="F22:F28">
    <cfRule type="dataBar" priority="7">
      <dataBar showValue="1" minLength="10" maxLength="90">
        <cfvo type="num" val="0"/>
        <cfvo type="num" val="1"/>
        <color rgb="FFC9A227"/>
      </dataBar>
      <extLst>
        <ext xmlns:x14="http://schemas.microsoft.com/office/spreadsheetml/2009/9/main" uri="{B025F937-C7B1-47D3-B67F-A62EFF666E3E}">
          <x14:id>{B115AE70-5A00-4C20-A945-69E0E0EEC98D}</x14:id>
        </ext>
      </extLst>
    </cfRule>
  </conditionalFormatting>
  <conditionalFormatting sqref="G22:G28">
    <cfRule type="expression" priority="8" aboveAverage="0" equalAverage="0" bottom="0" percent="0" rank="0" text="" dxfId="0">
      <formula>LEFT($G22,1)="✔"</formula>
    </cfRule>
    <cfRule type="expression" priority="9" aboveAverage="0" equalAverage="0" bottom="0" percent="0" rank="0" text="" dxfId="1">
      <formula>LEFT($G22,1)="●"</formula>
    </cfRule>
    <cfRule type="expression" priority="10" aboveAverage="0" equalAverage="0" bottom="0" percent="0" rank="0" text="" dxfId="1">
      <formula>LEFT($G22,1)="○"</formula>
    </cfRule>
    <cfRule type="expression" priority="11" aboveAverage="0" equalAverage="0" bottom="0" percent="0" rank="0" text="" dxfId="2">
      <formula>LEFT($G22,1)="⚠"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C18288-80DB-416B-B7E6-EE4982409BA7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157A52"/>
              <x14:axisColor rgb="FF000000"/>
            </x14:dataBar>
          </x14:cfRule>
          <xm:sqref>F6:F17</xm:sqref>
        </x14:conditionalFormatting>
        <x14:conditionalFormatting xmlns:xm="http://schemas.microsoft.com/office/excel/2006/main">
          <x14:cfRule type="dataBar" id="{B115AE70-5A00-4C20-A945-69E0E0EEC98D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C9A227"/>
              <x14:axisColor rgb="FF000000"/>
            </x14:dataBar>
          </x14:cfRule>
          <xm:sqref>F22:F28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true"/>
  </sheetPr>
  <dimension ref="A1:Q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15"/>
    <col collapsed="false" customWidth="true" hidden="false" outlineLevel="0" max="5" min="5" style="0" width="17"/>
    <col collapsed="false" customWidth="true" hidden="false" outlineLevel="0" max="6" min="6" style="0" width="11"/>
    <col collapsed="false" customWidth="true" hidden="false" outlineLevel="0" max="7" min="7" style="0" width="16"/>
    <col collapsed="false" customWidth="true" hidden="false" outlineLevel="0" max="9" min="8" style="0" width="17"/>
    <col collapsed="false" customWidth="true" hidden="false" outlineLevel="0" max="10" min="10" style="0" width="14"/>
    <col collapsed="false" customWidth="true" hidden="false" outlineLevel="0" max="11" min="11" style="0" width="20"/>
  </cols>
  <sheetData>
    <row r="1" customFormat="false" ht="33.75" hidden="false" customHeight="true" outlineLevel="0" collapsed="false">
      <c r="A1" s="2" t="s">
        <v>191</v>
      </c>
      <c r="B1" s="2"/>
      <c r="C1" s="2"/>
      <c r="D1" s="2"/>
      <c r="E1" s="2"/>
      <c r="F1" s="2"/>
      <c r="G1" s="2"/>
      <c r="H1" s="2"/>
      <c r="I1" s="2"/>
      <c r="J1" s="28" t="str">
        <f aca="false">HYPERLINK("#Beranda!A1","⌂  Beranda")</f>
        <v>⌂  Beranda</v>
      </c>
      <c r="K1" s="28"/>
      <c r="L1" s="4"/>
      <c r="M1" s="4"/>
      <c r="N1" s="4"/>
      <c r="O1" s="4"/>
      <c r="P1" s="4"/>
      <c r="Q1" s="4"/>
    </row>
    <row r="2" customFormat="false" ht="15.75" hidden="false" customHeight="true" outlineLevel="0" collapsed="false">
      <c r="A2" s="5" t="s">
        <v>192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</row>
    <row r="3" customFormat="false" ht="25.5" hidden="false" customHeight="true" outlineLevel="0" collapsed="false">
      <c r="A3" s="31"/>
      <c r="B3" s="31"/>
      <c r="C3" s="31"/>
      <c r="D3" s="31"/>
      <c r="E3" s="31"/>
      <c r="F3" s="31"/>
      <c r="G3" s="31"/>
      <c r="H3" s="31"/>
      <c r="I3" s="89" t="s">
        <v>193</v>
      </c>
      <c r="J3" s="90" t="n">
        <v>46203</v>
      </c>
      <c r="K3" s="91"/>
      <c r="L3" s="4"/>
      <c r="M3" s="4"/>
      <c r="N3" s="4"/>
      <c r="O3" s="4"/>
      <c r="P3" s="4"/>
      <c r="Q3" s="4"/>
    </row>
    <row r="4" customFormat="false" ht="7.5" hidden="false" customHeight="true" outlineLevel="0" collapsed="false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4"/>
      <c r="M4" s="4"/>
      <c r="N4" s="4"/>
      <c r="O4" s="4"/>
      <c r="P4" s="4"/>
      <c r="Q4" s="4"/>
    </row>
    <row r="5" customFormat="false" ht="30" hidden="false" customHeight="true" outlineLevel="0" collapsed="false">
      <c r="A5" s="56" t="s">
        <v>123</v>
      </c>
      <c r="B5" s="30" t="s">
        <v>194</v>
      </c>
      <c r="C5" s="56" t="s">
        <v>195</v>
      </c>
      <c r="D5" s="56" t="s">
        <v>196</v>
      </c>
      <c r="E5" s="56" t="s">
        <v>197</v>
      </c>
      <c r="F5" s="56" t="s">
        <v>198</v>
      </c>
      <c r="G5" s="56" t="s">
        <v>199</v>
      </c>
      <c r="H5" s="56" t="s">
        <v>200</v>
      </c>
      <c r="I5" s="56" t="s">
        <v>201</v>
      </c>
      <c r="J5" s="56" t="s">
        <v>202</v>
      </c>
      <c r="K5" s="56" t="s">
        <v>203</v>
      </c>
      <c r="L5" s="4"/>
      <c r="M5" s="4"/>
      <c r="N5" s="4"/>
      <c r="O5" s="4"/>
      <c r="P5" s="4"/>
      <c r="Q5" s="4"/>
    </row>
    <row r="6" customFormat="false" ht="19.5" hidden="false" customHeight="true" outlineLevel="0" collapsed="false">
      <c r="A6" s="92" t="n">
        <v>1</v>
      </c>
      <c r="B6" s="70" t="s">
        <v>204</v>
      </c>
      <c r="C6" s="70" t="s">
        <v>205</v>
      </c>
      <c r="D6" s="69" t="n">
        <v>42156</v>
      </c>
      <c r="E6" s="76" t="n">
        <v>850000000</v>
      </c>
      <c r="F6" s="93" t="n">
        <v>40</v>
      </c>
      <c r="G6" s="77" t="n">
        <f aca="false">IF(F6=0,0,E6/F6)</f>
        <v>21250000</v>
      </c>
      <c r="H6" s="77" t="n">
        <f aca="false">MIN(E6,ROUND(G6*YEARFRAC(D6,$J$3),0))</f>
        <v>235461806</v>
      </c>
      <c r="I6" s="77" t="n">
        <f aca="false">E6-H6</f>
        <v>614538194</v>
      </c>
      <c r="J6" s="94" t="s">
        <v>206</v>
      </c>
      <c r="K6" s="95" t="n">
        <v>46357</v>
      </c>
      <c r="L6" s="4"/>
      <c r="M6" s="4"/>
      <c r="N6" s="4"/>
      <c r="O6" s="4"/>
      <c r="P6" s="4"/>
      <c r="Q6" s="4"/>
    </row>
    <row r="7" customFormat="false" ht="19.5" hidden="false" customHeight="true" outlineLevel="0" collapsed="false">
      <c r="A7" s="96" t="n">
        <v>2</v>
      </c>
      <c r="B7" s="66" t="s">
        <v>207</v>
      </c>
      <c r="C7" s="66" t="s">
        <v>208</v>
      </c>
      <c r="D7" s="64" t="n">
        <v>44995</v>
      </c>
      <c r="E7" s="81" t="n">
        <v>45000000</v>
      </c>
      <c r="F7" s="97" t="n">
        <v>8</v>
      </c>
      <c r="G7" s="82" t="n">
        <f aca="false">IF(F7=0,0,E7/F7)</f>
        <v>5625000</v>
      </c>
      <c r="H7" s="82" t="n">
        <f aca="false">MIN(E7,ROUND(G7*YEARFRAC(D7,$J$3),0))</f>
        <v>18593750</v>
      </c>
      <c r="I7" s="82" t="n">
        <f aca="false">E7-H7</f>
        <v>26406250</v>
      </c>
      <c r="J7" s="98" t="s">
        <v>206</v>
      </c>
      <c r="K7" s="99" t="n">
        <v>46266</v>
      </c>
      <c r="L7" s="4"/>
      <c r="M7" s="4"/>
      <c r="N7" s="4"/>
      <c r="O7" s="4"/>
      <c r="P7" s="4"/>
      <c r="Q7" s="4"/>
    </row>
    <row r="8" customFormat="false" ht="19.5" hidden="false" customHeight="true" outlineLevel="0" collapsed="false">
      <c r="A8" s="92" t="n">
        <v>3</v>
      </c>
      <c r="B8" s="70" t="s">
        <v>209</v>
      </c>
      <c r="C8" s="70" t="s">
        <v>210</v>
      </c>
      <c r="D8" s="69" t="n">
        <v>44757</v>
      </c>
      <c r="E8" s="76" t="n">
        <v>27000000</v>
      </c>
      <c r="F8" s="93" t="n">
        <v>8</v>
      </c>
      <c r="G8" s="77" t="n">
        <f aca="false">IF(F8=0,0,E8/F8)</f>
        <v>3375000</v>
      </c>
      <c r="H8" s="77" t="n">
        <f aca="false">MIN(E8,ROUND(G8*YEARFRAC(D8,$J$3),0))</f>
        <v>13359375</v>
      </c>
      <c r="I8" s="77" t="n">
        <f aca="false">E8-H8</f>
        <v>13640625</v>
      </c>
      <c r="J8" s="94" t="s">
        <v>206</v>
      </c>
      <c r="K8" s="95" t="n">
        <v>46309</v>
      </c>
      <c r="L8" s="4"/>
      <c r="M8" s="4"/>
      <c r="N8" s="4"/>
      <c r="O8" s="4"/>
      <c r="P8" s="4"/>
      <c r="Q8" s="4"/>
    </row>
    <row r="9" customFormat="false" ht="19.5" hidden="false" customHeight="true" outlineLevel="0" collapsed="false">
      <c r="A9" s="96" t="n">
        <v>4</v>
      </c>
      <c r="B9" s="66" t="s">
        <v>211</v>
      </c>
      <c r="C9" s="66" t="s">
        <v>212</v>
      </c>
      <c r="D9" s="64" t="n">
        <v>44505</v>
      </c>
      <c r="E9" s="81" t="n">
        <v>32000000</v>
      </c>
      <c r="F9" s="97" t="n">
        <v>10</v>
      </c>
      <c r="G9" s="82" t="n">
        <f aca="false">IF(F9=0,0,E9/F9)</f>
        <v>3200000</v>
      </c>
      <c r="H9" s="82" t="n">
        <f aca="false">MIN(E9,ROUND(G9*YEARFRAC(D9,$J$3),0))</f>
        <v>14888889</v>
      </c>
      <c r="I9" s="82" t="n">
        <f aca="false">E9-H9</f>
        <v>17111111</v>
      </c>
      <c r="J9" s="98" t="s">
        <v>213</v>
      </c>
      <c r="K9" s="99" t="n">
        <v>46239</v>
      </c>
      <c r="L9" s="4"/>
      <c r="M9" s="4"/>
      <c r="N9" s="4"/>
      <c r="O9" s="4"/>
      <c r="P9" s="4"/>
      <c r="Q9" s="4"/>
    </row>
    <row r="10" customFormat="false" ht="19.5" hidden="false" customHeight="true" outlineLevel="0" collapsed="false">
      <c r="A10" s="92" t="n">
        <v>5</v>
      </c>
      <c r="B10" s="70" t="s">
        <v>214</v>
      </c>
      <c r="C10" s="70" t="s">
        <v>215</v>
      </c>
      <c r="D10" s="69" t="n">
        <v>45342</v>
      </c>
      <c r="E10" s="76" t="n">
        <v>210000000</v>
      </c>
      <c r="F10" s="93" t="n">
        <v>10</v>
      </c>
      <c r="G10" s="77" t="n">
        <f aca="false">IF(F10=0,0,E10/F10)</f>
        <v>21000000</v>
      </c>
      <c r="H10" s="77" t="n">
        <f aca="false">MIN(E10,ROUND(G10*YEARFRAC(D10,$J$3),0))</f>
        <v>49583333</v>
      </c>
      <c r="I10" s="77" t="n">
        <f aca="false">E10-H10</f>
        <v>160416667</v>
      </c>
      <c r="J10" s="94" t="s">
        <v>206</v>
      </c>
      <c r="K10" s="95" t="n">
        <v>46254</v>
      </c>
      <c r="L10" s="4"/>
      <c r="M10" s="4"/>
      <c r="N10" s="4"/>
      <c r="O10" s="4"/>
      <c r="P10" s="4"/>
      <c r="Q10" s="4"/>
    </row>
    <row r="11" customFormat="false" ht="19.5" hidden="false" customHeight="true" outlineLevel="0" collapsed="false">
      <c r="A11" s="96" t="n">
        <v>6</v>
      </c>
      <c r="B11" s="66" t="s">
        <v>216</v>
      </c>
      <c r="C11" s="66" t="s">
        <v>208</v>
      </c>
      <c r="D11" s="64" t="n">
        <v>46154</v>
      </c>
      <c r="E11" s="81" t="n">
        <v>8500000</v>
      </c>
      <c r="F11" s="97" t="n">
        <v>5</v>
      </c>
      <c r="G11" s="82" t="n">
        <f aca="false">IF(F11=0,0,E11/F11)</f>
        <v>1700000</v>
      </c>
      <c r="H11" s="82" t="n">
        <f aca="false">MIN(E11,ROUND(G11*YEARFRAC(D11,$J$3),0))</f>
        <v>226667</v>
      </c>
      <c r="I11" s="82" t="n">
        <f aca="false">E11-H11</f>
        <v>8273333</v>
      </c>
      <c r="J11" s="98" t="s">
        <v>206</v>
      </c>
      <c r="K11" s="99" t="n">
        <v>46519</v>
      </c>
      <c r="L11" s="4"/>
      <c r="M11" s="4"/>
      <c r="N11" s="4"/>
      <c r="O11" s="4"/>
      <c r="P11" s="4"/>
      <c r="Q11" s="4"/>
    </row>
    <row r="12" customFormat="false" ht="21.75" hidden="false" customHeight="true" outlineLevel="0" collapsed="false">
      <c r="A12" s="85"/>
      <c r="B12" s="100" t="s">
        <v>184</v>
      </c>
      <c r="C12" s="101"/>
      <c r="D12" s="101"/>
      <c r="E12" s="86" t="n">
        <f aca="false">SUM(E6:E11)</f>
        <v>1172500000</v>
      </c>
      <c r="F12" s="86"/>
      <c r="G12" s="86" t="n">
        <f aca="false">SUM(G6:G11)</f>
        <v>56150000</v>
      </c>
      <c r="H12" s="86" t="n">
        <f aca="false">SUM(H6:H11)</f>
        <v>332113820</v>
      </c>
      <c r="I12" s="86" t="n">
        <f aca="false">SUM(I6:I11)</f>
        <v>840386180</v>
      </c>
      <c r="J12" s="101"/>
      <c r="K12" s="88"/>
      <c r="L12" s="4"/>
      <c r="M12" s="4"/>
      <c r="N12" s="4"/>
      <c r="O12" s="4"/>
      <c r="P12" s="4"/>
      <c r="Q12" s="4"/>
    </row>
    <row r="13" customFormat="false" ht="7.5" hidden="fals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4"/>
      <c r="M13" s="4"/>
      <c r="N13" s="4"/>
      <c r="O13" s="4"/>
      <c r="P13" s="4"/>
      <c r="Q13" s="4"/>
    </row>
    <row r="14" customFormat="false" ht="14.25" hidden="false" customHeight="true" outlineLevel="0" collapsed="false">
      <c r="A14" s="27" t="s">
        <v>217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4"/>
      <c r="M14" s="4"/>
      <c r="N14" s="4"/>
      <c r="O14" s="4"/>
      <c r="P14" s="4"/>
      <c r="Q14" s="4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4"/>
      <c r="M15" s="4"/>
      <c r="N15" s="4"/>
      <c r="O15" s="4"/>
      <c r="P15" s="4"/>
      <c r="Q15" s="4"/>
    </row>
    <row r="16" customFormat="false" ht="14.2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</sheetData>
  <mergeCells count="4">
    <mergeCell ref="A1:I1"/>
    <mergeCell ref="J1:K1"/>
    <mergeCell ref="A2:K2"/>
    <mergeCell ref="A14:K14"/>
  </mergeCells>
  <conditionalFormatting sqref="J6:J11">
    <cfRule type="expression" priority="2" aboveAverage="0" equalAverage="0" bottom="0" percent="0" rank="0" text="" dxfId="0">
      <formula>$J6="Baik"</formula>
    </cfRule>
    <cfRule type="expression" priority="3" aboveAverage="0" equalAverage="0" bottom="0" percent="0" rank="0" text="" dxfId="1">
      <formula>$J6&lt;&gt;"Baik"</formula>
    </cfRule>
  </conditionalFormatting>
  <conditionalFormatting sqref="K6:K11">
    <cfRule type="expression" priority="4" aboveAverage="0" equalAverage="0" bottom="0" percent="0" rank="0" text="" dxfId="1">
      <formula>AND($K6&lt;&gt;"",$K6&lt;=$J$3+60)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3D2E"/>
    <pageSetUpPr fitToPage="true"/>
  </sheetPr>
  <dimension ref="A1:X70"/>
  <sheetViews>
    <sheetView showFormulas="false" showGridLines="false" showRowColHeaders="false" showZeros="true" rightToLeft="false" tabSelected="false" showOutlineSymbols="true" defaultGridColor="true" view="normal" topLeftCell="I1" colorId="64" zoomScale="100" zoomScaleNormal="100" zoomScalePageLayoutView="100" workbookViewId="0">
      <selection pane="topLeft" activeCell="I1" activeCellId="0" sqref="I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21"/>
    <col collapsed="false" customWidth="true" hidden="false" outlineLevel="0" max="6" min="3" style="0" width="12"/>
    <col collapsed="false" customWidth="true" hidden="false" outlineLevel="0" max="7" min="7" style="0" width="14"/>
    <col collapsed="false" customWidth="true" hidden="false" outlineLevel="0" max="8" min="8" style="0" width="8"/>
    <col collapsed="false" customWidth="true" hidden="false" outlineLevel="0" max="9" min="9" style="0" width="14"/>
    <col collapsed="false" customWidth="true" hidden="false" outlineLevel="0" max="11" min="10" style="0" width="15"/>
    <col collapsed="false" customWidth="true" hidden="false" outlineLevel="0" max="12" min="12" style="0" width="16"/>
    <col collapsed="false" customWidth="true" hidden="false" outlineLevel="0" max="13" min="13" style="0" width="13"/>
    <col collapsed="false" customWidth="true" hidden="false" outlineLevel="0" max="14" min="14" style="0" width="2.2"/>
    <col collapsed="false" customWidth="true" hidden="false" outlineLevel="0" max="24" min="15" style="0" width="10"/>
  </cols>
  <sheetData>
    <row r="1" customFormat="false" ht="33.75" hidden="false" customHeight="true" outlineLevel="0" collapsed="false">
      <c r="A1" s="2" t="s">
        <v>218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8" t="str">
        <f aca="false">HYPERLINK("#Beranda!A1","⌂  Beranda")</f>
        <v>⌂  Beranda</v>
      </c>
      <c r="X1" s="28"/>
    </row>
    <row r="2" customFormat="false" ht="15.75" hidden="false" customHeight="true" outlineLevel="0" collapsed="false">
      <c r="A2" s="5" t="s">
        <v>219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customFormat="false" ht="3.7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2"/>
      <c r="U3" s="102"/>
      <c r="V3" s="102"/>
      <c r="W3" s="102"/>
      <c r="X3" s="102"/>
    </row>
    <row r="4" customFormat="false" ht="18" hidden="false" customHeight="true" outlineLevel="0" collapsed="false">
      <c r="A4" s="1"/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 t="s">
        <v>8</v>
      </c>
      <c r="M4" s="8"/>
      <c r="N4" s="1"/>
      <c r="O4" s="1"/>
      <c r="P4" s="1"/>
      <c r="Q4" s="1"/>
      <c r="R4" s="1"/>
      <c r="S4" s="1"/>
      <c r="T4" s="3"/>
      <c r="U4" s="3"/>
      <c r="V4" s="3"/>
      <c r="W4" s="3"/>
      <c r="X4" s="3"/>
    </row>
    <row r="5" customFormat="false" ht="31.5" hidden="false" customHeight="true" outlineLevel="0" collapsed="false">
      <c r="A5" s="1"/>
      <c r="B5" s="9" t="n">
        <f aca="false">SUM(Penerimaan!$J$6:$J$400)</f>
        <v>244050000</v>
      </c>
      <c r="C5" s="9"/>
      <c r="D5" s="10" t="n">
        <f aca="false">SUM(Pengeluaran!$J$6:$J$400)</f>
        <v>135235000</v>
      </c>
      <c r="E5" s="10"/>
      <c r="F5" s="11" t="n">
        <f aca="false">B5-D5</f>
        <v>108815000</v>
      </c>
      <c r="G5" s="11"/>
      <c r="H5" s="11" t="n">
        <f aca="false">SaldoAwalKas+SUMIFS(Penerimaan!$J$6:$J$400,Penerimaan!$H$6:$H$400,"Tunai")-SUMIFS(Pengeluaran!$J$6:$J$400,Pengeluaran!$H$6:$H$400,"Tunai")</f>
        <v>86190000</v>
      </c>
      <c r="I5" s="11"/>
      <c r="J5" s="11" t="n">
        <f aca="false">SaldoAwalBank+(SUMIFS(Penerimaan!$J$6:$J$400,Penerimaan!$H$6:$H$400,"Transfer Bank")+SUMIFS(Penerimaan!$J$6:$J$400,Penerimaan!$H$6:$H$400,"QRIS"))-(SUMIFS(Pengeluaran!$J$6:$J$400,Pengeluaran!$H$6:$H$400,"Transfer Bank")+SUMIFS(Pengeluaran!$J$6:$J$400,Pengeluaran!$H$6:$H$400,"QRIS"))</f>
        <v>122625000</v>
      </c>
      <c r="K5" s="11"/>
      <c r="L5" s="11" t="n">
        <f aca="false">H5+J5</f>
        <v>208815000</v>
      </c>
      <c r="M5" s="11"/>
      <c r="N5" s="1"/>
      <c r="O5" s="1"/>
      <c r="P5" s="1"/>
      <c r="Q5" s="1"/>
      <c r="R5" s="1"/>
      <c r="S5" s="1"/>
      <c r="T5" s="3"/>
      <c r="U5" s="3"/>
      <c r="V5" s="3"/>
      <c r="W5" s="3"/>
      <c r="X5" s="3"/>
    </row>
    <row r="6" customFormat="false" ht="4.5" hidden="false" customHeight="true" outlineLevel="0" collapsed="false">
      <c r="A6" s="1"/>
      <c r="B6" s="12"/>
      <c r="C6" s="12"/>
      <c r="D6" s="13"/>
      <c r="E6" s="13"/>
      <c r="F6" s="14"/>
      <c r="G6" s="14"/>
      <c r="H6" s="15"/>
      <c r="I6" s="15"/>
      <c r="J6" s="15"/>
      <c r="K6" s="15"/>
      <c r="L6" s="14"/>
      <c r="M6" s="14"/>
      <c r="N6" s="1"/>
      <c r="O6" s="1"/>
      <c r="P6" s="1"/>
      <c r="Q6" s="1"/>
      <c r="R6" s="1"/>
      <c r="S6" s="1"/>
      <c r="T6" s="3"/>
      <c r="U6" s="3"/>
      <c r="V6" s="3"/>
      <c r="W6" s="3"/>
      <c r="X6" s="3"/>
    </row>
    <row r="7" customFormat="false" ht="12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U7" s="3"/>
      <c r="V7" s="3"/>
      <c r="W7" s="3"/>
      <c r="X7" s="3"/>
    </row>
    <row r="8" customFormat="false" ht="21.75" hidden="false" customHeight="true" outlineLevel="0" collapsed="false">
      <c r="A8" s="1"/>
      <c r="B8" s="7" t="s">
        <v>220</v>
      </c>
      <c r="C8" s="7"/>
      <c r="D8" s="7"/>
      <c r="E8" s="7"/>
      <c r="F8" s="7"/>
      <c r="G8" s="1"/>
      <c r="H8" s="7" t="s">
        <v>221</v>
      </c>
      <c r="I8" s="7"/>
      <c r="J8" s="7"/>
      <c r="K8" s="7"/>
      <c r="L8" s="7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</row>
    <row r="9" customFormat="false" ht="25.5" hidden="false" customHeight="true" outlineLevel="0" collapsed="false">
      <c r="A9" s="1"/>
      <c r="B9" s="44" t="s">
        <v>126</v>
      </c>
      <c r="C9" s="56" t="s">
        <v>222</v>
      </c>
      <c r="D9" s="56" t="s">
        <v>223</v>
      </c>
      <c r="E9" s="56" t="s">
        <v>224</v>
      </c>
      <c r="F9" s="56" t="s">
        <v>225</v>
      </c>
      <c r="G9" s="1"/>
      <c r="H9" s="56" t="s">
        <v>226</v>
      </c>
      <c r="I9" s="56" t="s">
        <v>227</v>
      </c>
      <c r="J9" s="56" t="s">
        <v>223</v>
      </c>
      <c r="K9" s="56" t="s">
        <v>224</v>
      </c>
      <c r="L9" s="56" t="s">
        <v>228</v>
      </c>
      <c r="M9" s="1"/>
      <c r="N9" s="1"/>
      <c r="O9" s="1"/>
      <c r="P9" s="1"/>
      <c r="Q9" s="1"/>
      <c r="R9" s="1"/>
      <c r="S9" s="1"/>
      <c r="T9" s="3"/>
      <c r="U9" s="3"/>
      <c r="V9" s="3"/>
      <c r="W9" s="3"/>
      <c r="X9" s="3"/>
    </row>
    <row r="10" customFormat="false" ht="18" hidden="false" customHeight="true" outlineLevel="0" collapsed="false">
      <c r="A10" s="1"/>
      <c r="B10" s="75" t="str">
        <f aca="false">Master!$A$5</f>
        <v>Operasional</v>
      </c>
      <c r="C10" s="77" t="n">
        <f aca="false">Master!$E$25</f>
        <v>25000000</v>
      </c>
      <c r="D10" s="77" t="n">
        <f aca="false">SUMIFS(Penerimaan!$J$6:$J$400,Penerimaan!$D$6:$D$400,$B10)</f>
        <v>10850000</v>
      </c>
      <c r="E10" s="77" t="n">
        <f aca="false">SUMIFS(Pengeluaran!$J$6:$J$400,Pengeluaran!$D$6:$D$400,$B10)</f>
        <v>42835000</v>
      </c>
      <c r="F10" s="103" t="n">
        <f aca="false">C10+D10-E10</f>
        <v>-6985000</v>
      </c>
      <c r="G10" s="1"/>
      <c r="H10" s="92" t="n">
        <v>1</v>
      </c>
      <c r="I10" s="104" t="s">
        <v>229</v>
      </c>
      <c r="J10" s="77" t="n">
        <f aca="false">SUMIFS(Penerimaan!$J$6:$J$400,Penerimaan!$C$6:$C$400,$H10)</f>
        <v>34280000</v>
      </c>
      <c r="K10" s="77" t="n">
        <f aca="false">SUMIFS(Pengeluaran!$J$6:$J$400,Pengeluaran!$C$6:$C$400,$H10)</f>
        <v>22285000</v>
      </c>
      <c r="L10" s="103" t="n">
        <f aca="false">Master!$B$27+J10-K10</f>
        <v>111995000</v>
      </c>
      <c r="M10" s="1"/>
      <c r="N10" s="1"/>
      <c r="O10" s="1"/>
      <c r="P10" s="1"/>
      <c r="Q10" s="1"/>
      <c r="R10" s="1"/>
      <c r="S10" s="1"/>
      <c r="T10" s="3"/>
      <c r="U10" s="3"/>
      <c r="V10" s="3"/>
      <c r="W10" s="3"/>
      <c r="X10" s="3"/>
    </row>
    <row r="11" customFormat="false" ht="18" hidden="false" customHeight="true" outlineLevel="0" collapsed="false">
      <c r="A11" s="1"/>
      <c r="B11" s="80" t="str">
        <f aca="false">Master!$A$6</f>
        <v>Pembangunan</v>
      </c>
      <c r="C11" s="82" t="n">
        <f aca="false">Master!$E$26</f>
        <v>45000000</v>
      </c>
      <c r="D11" s="82" t="n">
        <f aca="false">SUMIFS(Penerimaan!$J$6:$J$400,Penerimaan!$D$6:$D$400,$B11)</f>
        <v>37500000</v>
      </c>
      <c r="E11" s="82" t="n">
        <f aca="false">SUMIFS(Pengeluaran!$J$6:$J$400,Pengeluaran!$D$6:$D$400,$B11)</f>
        <v>34300000</v>
      </c>
      <c r="F11" s="105" t="n">
        <f aca="false">C11+D11-E11</f>
        <v>48200000</v>
      </c>
      <c r="G11" s="1"/>
      <c r="H11" s="96" t="n">
        <v>2</v>
      </c>
      <c r="I11" s="106" t="s">
        <v>230</v>
      </c>
      <c r="J11" s="82" t="n">
        <f aca="false">SUMIFS(Penerimaan!$J$6:$J$400,Penerimaan!$C$6:$C$400,$H11)</f>
        <v>33860000</v>
      </c>
      <c r="K11" s="82" t="n">
        <f aca="false">SUMIFS(Pengeluaran!$J$6:$J$400,Pengeluaran!$C$6:$C$400,$H11)</f>
        <v>11520000</v>
      </c>
      <c r="L11" s="105" t="n">
        <f aca="false">L10+J11-K11</f>
        <v>134335000</v>
      </c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</row>
    <row r="12" customFormat="false" ht="18" hidden="false" customHeight="true" outlineLevel="0" collapsed="false">
      <c r="A12" s="1"/>
      <c r="B12" s="75" t="str">
        <f aca="false">Master!$A$7</f>
        <v>Zakat</v>
      </c>
      <c r="C12" s="77" t="n">
        <f aca="false">Master!$E$27</f>
        <v>5000000</v>
      </c>
      <c r="D12" s="77" t="n">
        <f aca="false">SUMIFS(Penerimaan!$J$6:$J$400,Penerimaan!$D$6:$D$400,$B12)</f>
        <v>23400000</v>
      </c>
      <c r="E12" s="77" t="n">
        <f aca="false">SUMIFS(Pengeluaran!$J$6:$J$400,Pengeluaran!$D$6:$D$400,$B12)</f>
        <v>21700000</v>
      </c>
      <c r="F12" s="103" t="n">
        <f aca="false">C12+D12-E12</f>
        <v>6700000</v>
      </c>
      <c r="G12" s="1"/>
      <c r="H12" s="92" t="n">
        <v>3</v>
      </c>
      <c r="I12" s="104" t="s">
        <v>231</v>
      </c>
      <c r="J12" s="77" t="n">
        <f aca="false">SUMIFS(Penerimaan!$J$6:$J$400,Penerimaan!$C$6:$C$400,$H12)</f>
        <v>54590000</v>
      </c>
      <c r="K12" s="77" t="n">
        <f aca="false">SUMIFS(Pengeluaran!$J$6:$J$400,Pengeluaran!$C$6:$C$400,$H12)</f>
        <v>48705000</v>
      </c>
      <c r="L12" s="103" t="n">
        <f aca="false">L11+J12-K12</f>
        <v>140220000</v>
      </c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</row>
    <row r="13" customFormat="false" ht="18" hidden="false" customHeight="true" outlineLevel="0" collapsed="false">
      <c r="A13" s="1"/>
      <c r="B13" s="80" t="str">
        <f aca="false">Master!$A$8</f>
        <v>Infak</v>
      </c>
      <c r="C13" s="82" t="n">
        <f aca="false">Master!$E$28</f>
        <v>10000000</v>
      </c>
      <c r="D13" s="82" t="n">
        <f aca="false">SUMIFS(Penerimaan!$J$6:$J$400,Penerimaan!$D$6:$D$400,$B13)</f>
        <v>112040000</v>
      </c>
      <c r="E13" s="82" t="n">
        <f aca="false">SUMIFS(Pengeluaran!$J$6:$J$400,Pengeluaran!$D$6:$D$400,$B13)</f>
        <v>21150000</v>
      </c>
      <c r="F13" s="105" t="n">
        <f aca="false">C13+D13-E13</f>
        <v>100890000</v>
      </c>
      <c r="G13" s="1"/>
      <c r="H13" s="96" t="n">
        <v>4</v>
      </c>
      <c r="I13" s="106" t="s">
        <v>232</v>
      </c>
      <c r="J13" s="82" t="n">
        <f aca="false">SUMIFS(Penerimaan!$J$6:$J$400,Penerimaan!$C$6:$C$400,$H13)</f>
        <v>40030000</v>
      </c>
      <c r="K13" s="82" t="n">
        <f aca="false">SUMIFS(Pengeluaran!$J$6:$J$400,Pengeluaran!$C$6:$C$400,$H13)</f>
        <v>11890000</v>
      </c>
      <c r="L13" s="105" t="n">
        <f aca="false">L12+J13-K13</f>
        <v>168360000</v>
      </c>
      <c r="M13" s="1"/>
      <c r="N13" s="1"/>
      <c r="O13" s="1"/>
      <c r="P13" s="1"/>
      <c r="Q13" s="1"/>
      <c r="R13" s="1"/>
      <c r="S13" s="1"/>
      <c r="T13" s="3"/>
      <c r="U13" s="3"/>
      <c r="V13" s="3"/>
      <c r="W13" s="3"/>
      <c r="X13" s="3"/>
    </row>
    <row r="14" customFormat="false" ht="18" hidden="false" customHeight="true" outlineLevel="0" collapsed="false">
      <c r="A14" s="1"/>
      <c r="B14" s="75" t="str">
        <f aca="false">Master!$A$9</f>
        <v>Sedekah</v>
      </c>
      <c r="C14" s="77" t="n">
        <f aca="false">Master!$E$29</f>
        <v>5000000</v>
      </c>
      <c r="D14" s="77" t="n">
        <f aca="false">SUMIFS(Penerimaan!$J$6:$J$400,Penerimaan!$D$6:$D$400,$B14)</f>
        <v>30260000</v>
      </c>
      <c r="E14" s="77" t="n">
        <f aca="false">SUMIFS(Pengeluaran!$J$6:$J$400,Pengeluaran!$D$6:$D$400,$B14)</f>
        <v>5250000</v>
      </c>
      <c r="F14" s="103" t="n">
        <f aca="false">C14+D14-E14</f>
        <v>30010000</v>
      </c>
      <c r="G14" s="1"/>
      <c r="H14" s="92" t="n">
        <v>5</v>
      </c>
      <c r="I14" s="104" t="s">
        <v>233</v>
      </c>
      <c r="J14" s="77" t="n">
        <f aca="false">SUMIFS(Penerimaan!$J$6:$J$400,Penerimaan!$C$6:$C$400,$H14)</f>
        <v>36030000</v>
      </c>
      <c r="K14" s="77" t="n">
        <f aca="false">SUMIFS(Pengeluaran!$J$6:$J$400,Pengeluaran!$C$6:$C$400,$H14)</f>
        <v>22725000</v>
      </c>
      <c r="L14" s="103" t="n">
        <f aca="false">L13+J14-K14</f>
        <v>181665000</v>
      </c>
      <c r="M14" s="1"/>
      <c r="N14" s="1"/>
      <c r="O14" s="1"/>
      <c r="P14" s="1"/>
      <c r="Q14" s="1"/>
      <c r="R14" s="1"/>
      <c r="S14" s="1"/>
      <c r="T14" s="3"/>
      <c r="U14" s="3"/>
      <c r="V14" s="3"/>
      <c r="W14" s="3"/>
      <c r="X14" s="3"/>
    </row>
    <row r="15" customFormat="false" ht="18" hidden="false" customHeight="true" outlineLevel="0" collapsed="false">
      <c r="A15" s="1"/>
      <c r="B15" s="80" t="str">
        <f aca="false">Master!$A$10</f>
        <v>Wakaf</v>
      </c>
      <c r="C15" s="82" t="n">
        <f aca="false">Master!$E$30</f>
        <v>8000000</v>
      </c>
      <c r="D15" s="82" t="n">
        <f aca="false">SUMIFS(Penerimaan!$J$6:$J$400,Penerimaan!$D$6:$D$400,$B15)</f>
        <v>20000000</v>
      </c>
      <c r="E15" s="82" t="n">
        <f aca="false">SUMIFS(Pengeluaran!$J$6:$J$400,Pengeluaran!$D$6:$D$400,$B15)</f>
        <v>10000000</v>
      </c>
      <c r="F15" s="105" t="n">
        <f aca="false">C15+D15-E15</f>
        <v>18000000</v>
      </c>
      <c r="G15" s="1"/>
      <c r="H15" s="96" t="n">
        <v>6</v>
      </c>
      <c r="I15" s="106" t="s">
        <v>234</v>
      </c>
      <c r="J15" s="82" t="n">
        <f aca="false">SUMIFS(Penerimaan!$J$6:$J$400,Penerimaan!$C$6:$C$400,$H15)</f>
        <v>45260000</v>
      </c>
      <c r="K15" s="82" t="n">
        <f aca="false">SUMIFS(Pengeluaran!$J$6:$J$400,Pengeluaran!$C$6:$C$400,$H15)</f>
        <v>18110000</v>
      </c>
      <c r="L15" s="105" t="n">
        <f aca="false">L14+J15-K15</f>
        <v>208815000</v>
      </c>
      <c r="M15" s="1"/>
      <c r="N15" s="1"/>
      <c r="O15" s="1"/>
      <c r="P15" s="1"/>
      <c r="Q15" s="1"/>
      <c r="R15" s="1"/>
      <c r="S15" s="1"/>
      <c r="T15" s="3"/>
      <c r="U15" s="3"/>
      <c r="V15" s="3"/>
      <c r="W15" s="3"/>
      <c r="X15" s="3"/>
    </row>
    <row r="16" customFormat="false" ht="18" hidden="false" customHeight="true" outlineLevel="0" collapsed="false">
      <c r="A16" s="1"/>
      <c r="B16" s="75" t="str">
        <f aca="false">Master!$A$11</f>
        <v>Lainnya</v>
      </c>
      <c r="C16" s="77" t="n">
        <f aca="false">Master!$E$31</f>
        <v>2000000</v>
      </c>
      <c r="D16" s="77" t="n">
        <f aca="false">SUMIFS(Penerimaan!$J$6:$J$400,Penerimaan!$D$6:$D$400,$B16)</f>
        <v>10000000</v>
      </c>
      <c r="E16" s="77" t="n">
        <f aca="false">SUMIFS(Pengeluaran!$J$6:$J$400,Pengeluaran!$D$6:$D$400,$B16)</f>
        <v>0</v>
      </c>
      <c r="F16" s="103" t="n">
        <f aca="false">C16+D16-E16</f>
        <v>12000000</v>
      </c>
      <c r="G16" s="1"/>
      <c r="H16" s="92" t="n">
        <v>7</v>
      </c>
      <c r="I16" s="104" t="s">
        <v>235</v>
      </c>
      <c r="J16" s="77" t="n">
        <f aca="false">SUMIFS(Penerimaan!$J$6:$J$400,Penerimaan!$C$6:$C$400,$H16)</f>
        <v>0</v>
      </c>
      <c r="K16" s="77" t="n">
        <f aca="false">SUMIFS(Pengeluaran!$J$6:$J$400,Pengeluaran!$C$6:$C$400,$H16)</f>
        <v>0</v>
      </c>
      <c r="L16" s="103" t="n">
        <f aca="false">L15+J16-K16</f>
        <v>208815000</v>
      </c>
      <c r="M16" s="1"/>
      <c r="N16" s="1"/>
      <c r="O16" s="1"/>
      <c r="P16" s="1"/>
      <c r="Q16" s="1"/>
      <c r="R16" s="1"/>
      <c r="S16" s="1"/>
      <c r="T16" s="3"/>
      <c r="U16" s="3"/>
      <c r="V16" s="3"/>
      <c r="W16" s="3"/>
      <c r="X16" s="3"/>
    </row>
    <row r="17" customFormat="false" ht="18" hidden="false" customHeight="true" outlineLevel="0" collapsed="false">
      <c r="A17" s="1"/>
      <c r="B17" s="85" t="s">
        <v>184</v>
      </c>
      <c r="C17" s="86" t="n">
        <f aca="false">SUM(C10:C16)</f>
        <v>100000000</v>
      </c>
      <c r="D17" s="86" t="n">
        <f aca="false">SUM(D10:D16)</f>
        <v>244050000</v>
      </c>
      <c r="E17" s="86" t="n">
        <f aca="false">SUM(E10:E16)</f>
        <v>135235000</v>
      </c>
      <c r="F17" s="107" t="n">
        <f aca="false">SUM(F10:F16)</f>
        <v>208815000</v>
      </c>
      <c r="G17" s="1"/>
      <c r="H17" s="96" t="n">
        <v>8</v>
      </c>
      <c r="I17" s="106" t="s">
        <v>236</v>
      </c>
      <c r="J17" s="82" t="n">
        <f aca="false">SUMIFS(Penerimaan!$J$6:$J$400,Penerimaan!$C$6:$C$400,$H17)</f>
        <v>0</v>
      </c>
      <c r="K17" s="82" t="n">
        <f aca="false">SUMIFS(Pengeluaran!$J$6:$J$400,Pengeluaran!$C$6:$C$400,$H17)</f>
        <v>0</v>
      </c>
      <c r="L17" s="105" t="n">
        <f aca="false">L16+J17-K17</f>
        <v>208815000</v>
      </c>
      <c r="M17" s="1"/>
      <c r="N17" s="1"/>
      <c r="O17" s="1"/>
      <c r="P17" s="1"/>
      <c r="Q17" s="1"/>
      <c r="R17" s="1"/>
      <c r="S17" s="1"/>
      <c r="T17" s="3"/>
      <c r="U17" s="3"/>
      <c r="V17" s="3"/>
      <c r="W17" s="3"/>
      <c r="X17" s="3"/>
    </row>
    <row r="18" customFormat="false" ht="18" hidden="false" customHeight="true" outlineLevel="0" collapsed="false">
      <c r="A18" s="1"/>
      <c r="B18" s="1"/>
      <c r="C18" s="1"/>
      <c r="D18" s="1"/>
      <c r="E18" s="1"/>
      <c r="F18" s="1"/>
      <c r="G18" s="1"/>
      <c r="H18" s="92" t="n">
        <v>9</v>
      </c>
      <c r="I18" s="104" t="s">
        <v>237</v>
      </c>
      <c r="J18" s="77" t="n">
        <f aca="false">SUMIFS(Penerimaan!$J$6:$J$400,Penerimaan!$C$6:$C$400,$H18)</f>
        <v>0</v>
      </c>
      <c r="K18" s="77" t="n">
        <f aca="false">SUMIFS(Pengeluaran!$J$6:$J$400,Pengeluaran!$C$6:$C$400,$H18)</f>
        <v>0</v>
      </c>
      <c r="L18" s="103" t="n">
        <f aca="false">L17+J18-K18</f>
        <v>208815000</v>
      </c>
      <c r="M18" s="1"/>
      <c r="N18" s="1"/>
      <c r="O18" s="1"/>
      <c r="P18" s="1"/>
      <c r="Q18" s="1"/>
      <c r="R18" s="1"/>
      <c r="S18" s="1"/>
      <c r="T18" s="3"/>
      <c r="U18" s="3"/>
      <c r="V18" s="3"/>
      <c r="W18" s="3"/>
      <c r="X18" s="3"/>
    </row>
    <row r="19" customFormat="false" ht="18" hidden="false" customHeight="true" outlineLevel="0" collapsed="false">
      <c r="A19" s="1"/>
      <c r="B19" s="1"/>
      <c r="C19" s="1"/>
      <c r="D19" s="1"/>
      <c r="E19" s="1"/>
      <c r="F19" s="1"/>
      <c r="G19" s="1"/>
      <c r="H19" s="96" t="n">
        <v>10</v>
      </c>
      <c r="I19" s="106" t="s">
        <v>238</v>
      </c>
      <c r="J19" s="82" t="n">
        <f aca="false">SUMIFS(Penerimaan!$J$6:$J$400,Penerimaan!$C$6:$C$400,$H19)</f>
        <v>0</v>
      </c>
      <c r="K19" s="82" t="n">
        <f aca="false">SUMIFS(Pengeluaran!$J$6:$J$400,Pengeluaran!$C$6:$C$400,$H19)</f>
        <v>0</v>
      </c>
      <c r="L19" s="105" t="n">
        <f aca="false">L18+J19-K19</f>
        <v>208815000</v>
      </c>
      <c r="M19" s="1"/>
      <c r="N19" s="1"/>
      <c r="O19" s="1"/>
      <c r="P19" s="1"/>
      <c r="Q19" s="1"/>
      <c r="R19" s="1"/>
      <c r="S19" s="1"/>
      <c r="T19" s="3"/>
      <c r="U19" s="3"/>
      <c r="V19" s="3"/>
      <c r="W19" s="3"/>
      <c r="X19" s="3"/>
    </row>
    <row r="20" customFormat="false" ht="18" hidden="false" customHeight="true" outlineLevel="0" collapsed="false">
      <c r="A20" s="1"/>
      <c r="B20" s="7" t="s">
        <v>239</v>
      </c>
      <c r="C20" s="7"/>
      <c r="D20" s="7"/>
      <c r="E20" s="7"/>
      <c r="F20" s="1"/>
      <c r="G20" s="1"/>
      <c r="H20" s="92" t="n">
        <v>11</v>
      </c>
      <c r="I20" s="104" t="s">
        <v>240</v>
      </c>
      <c r="J20" s="77" t="n">
        <f aca="false">SUMIFS(Penerimaan!$J$6:$J$400,Penerimaan!$C$6:$C$400,$H20)</f>
        <v>0</v>
      </c>
      <c r="K20" s="77" t="n">
        <f aca="false">SUMIFS(Pengeluaran!$J$6:$J$400,Pengeluaran!$C$6:$C$400,$H20)</f>
        <v>0</v>
      </c>
      <c r="L20" s="103" t="n">
        <f aca="false">L19+J20-K20</f>
        <v>208815000</v>
      </c>
      <c r="M20" s="1"/>
      <c r="N20" s="1"/>
      <c r="O20" s="1"/>
      <c r="P20" s="1"/>
      <c r="Q20" s="1"/>
      <c r="R20" s="1"/>
      <c r="S20" s="1"/>
      <c r="T20" s="3"/>
      <c r="U20" s="3"/>
      <c r="V20" s="3"/>
      <c r="W20" s="3"/>
      <c r="X20" s="3"/>
    </row>
    <row r="21" customFormat="false" ht="18" hidden="false" customHeight="true" outlineLevel="0" collapsed="false">
      <c r="A21" s="1"/>
      <c r="B21" s="44" t="s">
        <v>127</v>
      </c>
      <c r="C21" s="56" t="s">
        <v>241</v>
      </c>
      <c r="D21" s="56" t="s">
        <v>242</v>
      </c>
      <c r="E21" s="56"/>
      <c r="F21" s="1"/>
      <c r="G21" s="1"/>
      <c r="H21" s="96" t="n">
        <v>12</v>
      </c>
      <c r="I21" s="106" t="s">
        <v>243</v>
      </c>
      <c r="J21" s="82" t="n">
        <f aca="false">SUMIFS(Penerimaan!$J$6:$J$400,Penerimaan!$C$6:$C$400,$H21)</f>
        <v>0</v>
      </c>
      <c r="K21" s="82" t="n">
        <f aca="false">SUMIFS(Pengeluaran!$J$6:$J$400,Pengeluaran!$C$6:$C$400,$H21)</f>
        <v>0</v>
      </c>
      <c r="L21" s="105" t="n">
        <f aca="false">L20+J21-K21</f>
        <v>208815000</v>
      </c>
      <c r="M21" s="1"/>
      <c r="N21" s="1"/>
      <c r="O21" s="1"/>
      <c r="P21" s="1"/>
      <c r="Q21" s="1"/>
      <c r="R21" s="1"/>
      <c r="S21" s="1"/>
      <c r="T21" s="3"/>
      <c r="U21" s="3"/>
      <c r="V21" s="3"/>
      <c r="W21" s="3"/>
      <c r="X21" s="3"/>
    </row>
    <row r="22" customFormat="false" ht="21.75" hidden="false" customHeight="true" outlineLevel="0" collapsed="false">
      <c r="A22" s="1"/>
      <c r="B22" s="75" t="str">
        <f aca="false">Master!$F$5</f>
        <v>Listrik &amp; Air</v>
      </c>
      <c r="C22" s="77" t="n">
        <f aca="false">SUMIFS(Pengeluaran!$J$6:$J$400,Pengeluaran!$E$6:$E$400,$B22)</f>
        <v>8235000</v>
      </c>
      <c r="D22" s="108" t="n">
        <f aca="false">IF($C$34=0,0,C22/$C$34)</f>
        <v>0.0608939993344918</v>
      </c>
      <c r="E22" s="109"/>
      <c r="F22" s="1"/>
      <c r="G22" s="1"/>
      <c r="H22" s="110" t="s">
        <v>184</v>
      </c>
      <c r="I22" s="101"/>
      <c r="J22" s="86" t="n">
        <f aca="false">SUM(J10:J21)</f>
        <v>244050000</v>
      </c>
      <c r="K22" s="86" t="n">
        <f aca="false">SUM(K10:K21)</f>
        <v>135235000</v>
      </c>
      <c r="L22" s="107" t="n">
        <f aca="false">L21</f>
        <v>208815000</v>
      </c>
      <c r="M22" s="1"/>
      <c r="N22" s="1"/>
      <c r="O22" s="1"/>
      <c r="P22" s="1"/>
      <c r="Q22" s="1"/>
      <c r="R22" s="1"/>
      <c r="S22" s="1"/>
      <c r="T22" s="3"/>
      <c r="U22" s="3"/>
      <c r="V22" s="3"/>
      <c r="W22" s="3"/>
      <c r="X22" s="3"/>
    </row>
    <row r="23" customFormat="false" ht="18" hidden="false" customHeight="true" outlineLevel="0" collapsed="false">
      <c r="A23" s="1"/>
      <c r="B23" s="80" t="str">
        <f aca="false">Master!$F$6</f>
        <v>Kebersihan &amp; Keamanan</v>
      </c>
      <c r="C23" s="82" t="n">
        <f aca="false">SUMIFS(Pengeluaran!$J$6:$J$400,Pengeluaran!$E$6:$E$400,$B23)</f>
        <v>2700000</v>
      </c>
      <c r="D23" s="111" t="n">
        <f aca="false">IF($C$34=0,0,C23/$C$34)</f>
        <v>0.0199652456834399</v>
      </c>
      <c r="E23" s="1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3"/>
      <c r="U23" s="3"/>
      <c r="V23" s="3"/>
      <c r="W23" s="3"/>
      <c r="X23" s="3"/>
    </row>
    <row r="24" customFormat="false" ht="18" hidden="false" customHeight="true" outlineLevel="0" collapsed="false">
      <c r="A24" s="1"/>
      <c r="B24" s="75" t="str">
        <f aca="false">Master!$F$7</f>
        <v>Honorarium</v>
      </c>
      <c r="C24" s="77" t="n">
        <f aca="false">SUMIFS(Pengeluaran!$J$6:$J$400,Pengeluaran!$E$6:$E$400,$B24)</f>
        <v>21000000</v>
      </c>
      <c r="D24" s="108" t="n">
        <f aca="false">IF($C$34=0,0,C24/$C$34)</f>
        <v>0.155285244204533</v>
      </c>
      <c r="E24" s="10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3"/>
      <c r="U24" s="3"/>
      <c r="V24" s="3"/>
      <c r="W24" s="3"/>
      <c r="X24" s="3"/>
    </row>
    <row r="25" customFormat="false" ht="21.75" hidden="false" customHeight="true" outlineLevel="0" collapsed="false">
      <c r="A25" s="1"/>
      <c r="B25" s="80" t="str">
        <f aca="false">Master!$F$8</f>
        <v>Kegiatan Dakwah</v>
      </c>
      <c r="C25" s="82" t="n">
        <f aca="false">SUMIFS(Pengeluaran!$J$6:$J$400,Pengeluaran!$E$6:$E$400,$B25)</f>
        <v>5100000</v>
      </c>
      <c r="D25" s="111" t="n">
        <f aca="false">IF($C$34=0,0,C25/$C$34)</f>
        <v>0.0377121307353866</v>
      </c>
      <c r="E25" s="112"/>
      <c r="F25" s="1"/>
      <c r="G25" s="1"/>
      <c r="H25" s="7" t="s">
        <v>244</v>
      </c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3"/>
      <c r="U25" s="3"/>
      <c r="V25" s="3"/>
      <c r="W25" s="3"/>
      <c r="X25" s="3"/>
    </row>
    <row r="26" customFormat="false" ht="25.5" hidden="false" customHeight="true" outlineLevel="0" collapsed="false">
      <c r="A26" s="1"/>
      <c r="B26" s="75" t="str">
        <f aca="false">Master!$F$9</f>
        <v>Pendidikan (TPA)</v>
      </c>
      <c r="C26" s="77" t="n">
        <f aca="false">SUMIFS(Pengeluaran!$J$6:$J$400,Pengeluaran!$E$6:$E$400,$B26)</f>
        <v>7200000</v>
      </c>
      <c r="D26" s="108" t="n">
        <f aca="false">IF($C$34=0,0,C26/$C$34)</f>
        <v>0.0532406551558398</v>
      </c>
      <c r="E26" s="109"/>
      <c r="F26" s="1"/>
      <c r="G26" s="1"/>
      <c r="H26" s="44" t="s">
        <v>128</v>
      </c>
      <c r="I26" s="44"/>
      <c r="J26" s="56" t="s">
        <v>223</v>
      </c>
      <c r="K26" s="56" t="s">
        <v>224</v>
      </c>
      <c r="L26" s="56" t="s">
        <v>245</v>
      </c>
      <c r="M26" s="1"/>
      <c r="N26" s="1"/>
      <c r="O26" s="1"/>
      <c r="P26" s="1"/>
      <c r="Q26" s="1"/>
      <c r="R26" s="1"/>
      <c r="S26" s="1"/>
      <c r="T26" s="3"/>
      <c r="U26" s="3"/>
      <c r="V26" s="3"/>
      <c r="W26" s="3"/>
      <c r="X26" s="3"/>
    </row>
    <row r="27" customFormat="false" ht="18" hidden="false" customHeight="true" outlineLevel="0" collapsed="false">
      <c r="A27" s="1"/>
      <c r="B27" s="80" t="str">
        <f aca="false">Master!$F$10</f>
        <v>Sosial &amp; Santunan</v>
      </c>
      <c r="C27" s="82" t="n">
        <f aca="false">SUMIFS(Pengeluaran!$J$6:$J$400,Pengeluaran!$E$6:$E$400,$B27)</f>
        <v>26950000</v>
      </c>
      <c r="D27" s="111" t="n">
        <f aca="false">IF($C$34=0,0,C27/$C$34)</f>
        <v>0.199282730062484</v>
      </c>
      <c r="E27" s="112"/>
      <c r="F27" s="1"/>
      <c r="G27" s="1"/>
      <c r="H27" s="75" t="str">
        <f aca="false">Master!$H$5</f>
        <v>Operasional Rutin</v>
      </c>
      <c r="I27" s="75"/>
      <c r="J27" s="77" t="n">
        <f aca="false">SUMIFS(Penerimaan!$J$6:$J$400,Penerimaan!$F$6:$F$400,$H27)</f>
        <v>109980000</v>
      </c>
      <c r="K27" s="77" t="n">
        <f aca="false">SUMIFS(Pengeluaran!$J$6:$J$400,Pengeluaran!$F$6:$F$400,$H27)</f>
        <v>42835000</v>
      </c>
      <c r="L27" s="103" t="n">
        <f aca="false">J27-K27</f>
        <v>67145000</v>
      </c>
      <c r="M27" s="1"/>
      <c r="N27" s="1"/>
      <c r="O27" s="1"/>
      <c r="P27" s="1"/>
      <c r="Q27" s="1"/>
      <c r="R27" s="1"/>
      <c r="S27" s="1"/>
      <c r="T27" s="3"/>
      <c r="U27" s="3"/>
      <c r="V27" s="3"/>
      <c r="W27" s="3"/>
      <c r="X27" s="3"/>
    </row>
    <row r="28" customFormat="false" ht="18" hidden="false" customHeight="true" outlineLevel="0" collapsed="false">
      <c r="A28" s="1"/>
      <c r="B28" s="75" t="str">
        <f aca="false">Master!$F$11</f>
        <v>Ramadan</v>
      </c>
      <c r="C28" s="77" t="n">
        <f aca="false">SUMIFS(Pengeluaran!$J$6:$J$400,Pengeluaran!$E$6:$E$400,$B28)</f>
        <v>8850000</v>
      </c>
      <c r="D28" s="108" t="n">
        <f aca="false">IF($C$34=0,0,C28/$C$34)</f>
        <v>0.0654416386290531</v>
      </c>
      <c r="E28" s="109"/>
      <c r="F28" s="1"/>
      <c r="G28" s="1"/>
      <c r="H28" s="80" t="str">
        <f aca="false">Master!$H$6</f>
        <v>Pembangunan Menara</v>
      </c>
      <c r="I28" s="80"/>
      <c r="J28" s="82" t="n">
        <f aca="false">SUMIFS(Penerimaan!$J$6:$J$400,Penerimaan!$F$6:$F$400,$H28)</f>
        <v>45000000</v>
      </c>
      <c r="K28" s="82" t="n">
        <f aca="false">SUMIFS(Pengeluaran!$J$6:$J$400,Pengeluaran!$F$6:$F$400,$H28)</f>
        <v>37500000</v>
      </c>
      <c r="L28" s="105" t="n">
        <f aca="false">J28-K28</f>
        <v>7500000</v>
      </c>
      <c r="M28" s="1"/>
      <c r="N28" s="1"/>
      <c r="O28" s="1"/>
      <c r="P28" s="1"/>
      <c r="Q28" s="1"/>
      <c r="R28" s="1"/>
      <c r="S28" s="1"/>
      <c r="T28" s="3"/>
      <c r="U28" s="3"/>
      <c r="V28" s="3"/>
      <c r="W28" s="3"/>
      <c r="X28" s="3"/>
    </row>
    <row r="29" customFormat="false" ht="18" hidden="false" customHeight="true" outlineLevel="0" collapsed="false">
      <c r="A29" s="1"/>
      <c r="B29" s="80" t="str">
        <f aca="false">Master!$F$12</f>
        <v>Kurban</v>
      </c>
      <c r="C29" s="82" t="n">
        <f aca="false">SUMIFS(Pengeluaran!$J$6:$J$400,Pengeluaran!$E$6:$E$400,$B29)</f>
        <v>0</v>
      </c>
      <c r="D29" s="111" t="n">
        <f aca="false">IF($C$34=0,0,C29/$C$34)</f>
        <v>0</v>
      </c>
      <c r="E29" s="112"/>
      <c r="F29" s="1"/>
      <c r="G29" s="1"/>
      <c r="H29" s="75" t="str">
        <f aca="false">Master!$H$7</f>
        <v>Renovasi Tempat Wudhu</v>
      </c>
      <c r="I29" s="75"/>
      <c r="J29" s="77" t="n">
        <f aca="false">SUMIFS(Penerimaan!$J$6:$J$400,Penerimaan!$F$6:$F$400,$H29)</f>
        <v>7500000</v>
      </c>
      <c r="K29" s="77" t="n">
        <f aca="false">SUMIFS(Pengeluaran!$J$6:$J$400,Pengeluaran!$F$6:$F$400,$H29)</f>
        <v>6800000</v>
      </c>
      <c r="L29" s="103" t="n">
        <f aca="false">J29-K29</f>
        <v>700000</v>
      </c>
      <c r="M29" s="1"/>
      <c r="N29" s="1"/>
      <c r="O29" s="1"/>
      <c r="P29" s="1"/>
      <c r="Q29" s="1"/>
      <c r="R29" s="1"/>
      <c r="S29" s="1"/>
      <c r="T29" s="3"/>
      <c r="U29" s="3"/>
      <c r="V29" s="3"/>
      <c r="W29" s="3"/>
      <c r="X29" s="3"/>
    </row>
    <row r="30" customFormat="false" ht="18" hidden="false" customHeight="true" outlineLevel="0" collapsed="false">
      <c r="A30" s="1"/>
      <c r="B30" s="75" t="str">
        <f aca="false">Master!$F$13</f>
        <v>Pembangunan</v>
      </c>
      <c r="C30" s="77" t="n">
        <f aca="false">SUMIFS(Pengeluaran!$J$6:$J$400,Pengeluaran!$E$6:$E$400,$B30)</f>
        <v>44300000</v>
      </c>
      <c r="D30" s="108" t="n">
        <f aca="false">IF($C$34=0,0,C30/$C$34)</f>
        <v>0.327577919917181</v>
      </c>
      <c r="E30" s="109"/>
      <c r="F30" s="1"/>
      <c r="G30" s="1"/>
      <c r="H30" s="80" t="str">
        <f aca="false">Master!$H$8</f>
        <v>Kajian Rutin</v>
      </c>
      <c r="I30" s="80"/>
      <c r="J30" s="82" t="n">
        <f aca="false">SUMIFS(Penerimaan!$J$6:$J$400,Penerimaan!$F$6:$F$400,$H30)</f>
        <v>0</v>
      </c>
      <c r="K30" s="82" t="n">
        <f aca="false">SUMIFS(Pengeluaran!$J$6:$J$400,Pengeluaran!$F$6:$F$400,$H30)</f>
        <v>5100000</v>
      </c>
      <c r="L30" s="105" t="n">
        <f aca="false">J30-K30</f>
        <v>-5100000</v>
      </c>
      <c r="M30" s="1"/>
      <c r="N30" s="1"/>
      <c r="O30" s="1"/>
      <c r="P30" s="1"/>
      <c r="Q30" s="1"/>
      <c r="R30" s="1"/>
      <c r="S30" s="1"/>
      <c r="T30" s="3"/>
      <c r="U30" s="3"/>
      <c r="V30" s="3"/>
      <c r="W30" s="3"/>
      <c r="X30" s="3"/>
    </row>
    <row r="31" customFormat="false" ht="18" hidden="false" customHeight="true" outlineLevel="0" collapsed="false">
      <c r="A31" s="1"/>
      <c r="B31" s="80" t="str">
        <f aca="false">Master!$F$14</f>
        <v>Pemeliharaan</v>
      </c>
      <c r="C31" s="82" t="n">
        <f aca="false">SUMIFS(Pengeluaran!$J$6:$J$400,Pengeluaran!$E$6:$E$400,$B31)</f>
        <v>1750000</v>
      </c>
      <c r="D31" s="111" t="n">
        <f aca="false">IF($C$34=0,0,C31/$C$34)</f>
        <v>0.0129404370170444</v>
      </c>
      <c r="E31" s="112"/>
      <c r="F31" s="1"/>
      <c r="G31" s="1"/>
      <c r="H31" s="75" t="str">
        <f aca="false">Master!$H$9</f>
        <v>TPA Al-Hidayah</v>
      </c>
      <c r="I31" s="75"/>
      <c r="J31" s="77" t="n">
        <f aca="false">SUMIFS(Penerimaan!$J$6:$J$400,Penerimaan!$F$6:$F$400,$H31)</f>
        <v>0</v>
      </c>
      <c r="K31" s="77" t="n">
        <f aca="false">SUMIFS(Pengeluaran!$J$6:$J$400,Pengeluaran!$F$6:$F$400,$H31)</f>
        <v>7200000</v>
      </c>
      <c r="L31" s="103" t="n">
        <f aca="false">J31-K31</f>
        <v>-7200000</v>
      </c>
      <c r="M31" s="1"/>
      <c r="N31" s="1"/>
      <c r="O31" s="1"/>
      <c r="P31" s="1"/>
      <c r="Q31" s="1"/>
      <c r="R31" s="1"/>
      <c r="S31" s="1"/>
      <c r="T31" s="3"/>
      <c r="U31" s="3"/>
      <c r="V31" s="3"/>
      <c r="W31" s="3"/>
      <c r="X31" s="3"/>
    </row>
    <row r="32" customFormat="false" ht="18" hidden="false" customHeight="true" outlineLevel="0" collapsed="false">
      <c r="A32" s="1"/>
      <c r="B32" s="75" t="str">
        <f aca="false">Master!$F$15</f>
        <v>Pembelian Aset</v>
      </c>
      <c r="C32" s="77" t="n">
        <f aca="false">SUMIFS(Pengeluaran!$J$6:$J$400,Pengeluaran!$E$6:$E$400,$B32)</f>
        <v>8500000</v>
      </c>
      <c r="D32" s="108" t="n">
        <f aca="false">IF($C$34=0,0,C32/$C$34)</f>
        <v>0.0628535512256443</v>
      </c>
      <c r="E32" s="109"/>
      <c r="F32" s="1"/>
      <c r="G32" s="1"/>
      <c r="H32" s="80" t="str">
        <f aca="false">Master!$H$10</f>
        <v>Santunan Yatim &amp; Dhuafa</v>
      </c>
      <c r="I32" s="80"/>
      <c r="J32" s="82" t="n">
        <f aca="false">SUMIFS(Penerimaan!$J$6:$J$400,Penerimaan!$F$6:$F$400,$H32)</f>
        <v>0</v>
      </c>
      <c r="K32" s="82" t="n">
        <f aca="false">SUMIFS(Pengeluaran!$J$6:$J$400,Pengeluaran!$F$6:$F$400,$H32)</f>
        <v>5250000</v>
      </c>
      <c r="L32" s="105" t="n">
        <f aca="false">J32-K32</f>
        <v>-5250000</v>
      </c>
      <c r="M32" s="1"/>
      <c r="N32" s="1"/>
      <c r="O32" s="1"/>
      <c r="P32" s="1"/>
      <c r="Q32" s="1"/>
      <c r="R32" s="1"/>
      <c r="S32" s="1"/>
      <c r="T32" s="3"/>
      <c r="U32" s="3"/>
      <c r="V32" s="3"/>
      <c r="W32" s="3"/>
      <c r="X32" s="3"/>
    </row>
    <row r="33" customFormat="false" ht="18" hidden="false" customHeight="true" outlineLevel="0" collapsed="false">
      <c r="A33" s="1"/>
      <c r="B33" s="80" t="str">
        <f aca="false">Master!$F$16</f>
        <v>Administrasi &amp; Umum</v>
      </c>
      <c r="C33" s="82" t="n">
        <f aca="false">SUMIFS(Pengeluaran!$J$6:$J$400,Pengeluaran!$E$6:$E$400,$B33)</f>
        <v>650000</v>
      </c>
      <c r="D33" s="111" t="n">
        <f aca="false">IF($C$34=0,0,C33/$C$34)</f>
        <v>0.00480644803490221</v>
      </c>
      <c r="E33" s="112"/>
      <c r="F33" s="1"/>
      <c r="G33" s="1"/>
      <c r="H33" s="75" t="str">
        <f aca="false">Master!$H$11</f>
        <v>Ramadan 1447 H</v>
      </c>
      <c r="I33" s="75"/>
      <c r="J33" s="77" t="n">
        <f aca="false">SUMIFS(Penerimaan!$J$6:$J$400,Penerimaan!$F$6:$F$400,$H33)</f>
        <v>30060000</v>
      </c>
      <c r="K33" s="77" t="n">
        <f aca="false">SUMIFS(Pengeluaran!$J$6:$J$400,Pengeluaran!$F$6:$F$400,$H33)</f>
        <v>25050000</v>
      </c>
      <c r="L33" s="103" t="n">
        <f aca="false">J33-K33</f>
        <v>5010000</v>
      </c>
      <c r="M33" s="1"/>
      <c r="N33" s="1"/>
      <c r="O33" s="1"/>
      <c r="P33" s="1"/>
      <c r="Q33" s="1"/>
      <c r="R33" s="1"/>
      <c r="S33" s="1"/>
      <c r="T33" s="3"/>
      <c r="U33" s="3"/>
      <c r="V33" s="3"/>
      <c r="W33" s="3"/>
      <c r="X33" s="3"/>
    </row>
    <row r="34" customFormat="false" ht="18" hidden="false" customHeight="true" outlineLevel="0" collapsed="false">
      <c r="A34" s="1"/>
      <c r="B34" s="85" t="s">
        <v>184</v>
      </c>
      <c r="C34" s="86" t="n">
        <f aca="false">SUM(C22:C33)</f>
        <v>135235000</v>
      </c>
      <c r="D34" s="87" t="n">
        <f aca="false">IF(C34=0,0,1)</f>
        <v>1</v>
      </c>
      <c r="E34" s="113"/>
      <c r="F34" s="1"/>
      <c r="G34" s="1"/>
      <c r="H34" s="80" t="str">
        <f aca="false">Master!$H$12</f>
        <v>Kurban 1447 H</v>
      </c>
      <c r="I34" s="80"/>
      <c r="J34" s="82" t="n">
        <f aca="false">SUMIFS(Penerimaan!$J$6:$J$400,Penerimaan!$F$6:$F$400,$H34)</f>
        <v>24500000</v>
      </c>
      <c r="K34" s="82" t="n">
        <f aca="false">SUMIFS(Pengeluaran!$J$6:$J$400,Pengeluaran!$F$6:$F$400,$H34)</f>
        <v>0</v>
      </c>
      <c r="L34" s="105" t="n">
        <f aca="false">J34-K34</f>
        <v>24500000</v>
      </c>
      <c r="M34" s="1"/>
      <c r="N34" s="1"/>
      <c r="O34" s="1"/>
      <c r="P34" s="1"/>
      <c r="Q34" s="1"/>
      <c r="R34" s="1"/>
      <c r="S34" s="1"/>
      <c r="T34" s="3"/>
      <c r="U34" s="3"/>
      <c r="V34" s="3"/>
      <c r="W34" s="3"/>
      <c r="X34" s="3"/>
    </row>
    <row r="35" customFormat="false" ht="18" hidden="false" customHeight="true" outlineLevel="0" collapsed="false">
      <c r="A35" s="1"/>
      <c r="B35" s="1"/>
      <c r="C35" s="1"/>
      <c r="D35" s="1"/>
      <c r="E35" s="1"/>
      <c r="F35" s="1"/>
      <c r="G35" s="1"/>
      <c r="H35" s="75" t="str">
        <f aca="false">Master!$H$13</f>
        <v>Umum</v>
      </c>
      <c r="I35" s="75"/>
      <c r="J35" s="77" t="n">
        <f aca="false">SUMIFS(Penerimaan!$J$6:$J$400,Penerimaan!$F$6:$F$400,$H35)</f>
        <v>27010000</v>
      </c>
      <c r="K35" s="77" t="n">
        <f aca="false">SUMIFS(Pengeluaran!$J$6:$J$400,Pengeluaran!$F$6:$F$400,$H35)</f>
        <v>5500000</v>
      </c>
      <c r="L35" s="103" t="n">
        <f aca="false">J35-K35</f>
        <v>21510000</v>
      </c>
      <c r="M35" s="1"/>
      <c r="N35" s="1"/>
      <c r="O35" s="1"/>
      <c r="P35" s="1"/>
      <c r="Q35" s="1"/>
      <c r="R35" s="1"/>
      <c r="S35" s="1"/>
      <c r="T35" s="3"/>
      <c r="U35" s="3"/>
      <c r="V35" s="3"/>
      <c r="W35" s="3"/>
      <c r="X35" s="3"/>
    </row>
    <row r="36" customFormat="false" ht="25.5" hidden="false" customHeight="true" outlineLevel="0" collapsed="false">
      <c r="A36" s="1"/>
      <c r="B36" s="1"/>
      <c r="C36" s="1"/>
      <c r="D36" s="1"/>
      <c r="E36" s="1"/>
      <c r="F36" s="1"/>
      <c r="G36" s="1"/>
      <c r="H36" s="114" t="s">
        <v>14</v>
      </c>
      <c r="I36" s="114"/>
      <c r="J36" s="115" t="str">
        <f aca="false">IF(B5-D5&gt;=0,"✔ SURPLUS — Sehat","⚠ DEFISIT — Perlu perhatian")</f>
        <v>✔ SURPLUS — Sehat</v>
      </c>
      <c r="K36" s="115"/>
      <c r="L36" s="115"/>
      <c r="M36" s="1"/>
      <c r="N36" s="1"/>
      <c r="O36" s="1"/>
      <c r="P36" s="1"/>
      <c r="Q36" s="1"/>
      <c r="R36" s="1"/>
      <c r="S36" s="1"/>
      <c r="T36" s="3"/>
      <c r="U36" s="3"/>
      <c r="V36" s="3"/>
      <c r="W36" s="3"/>
      <c r="X36" s="3"/>
    </row>
    <row r="37" customFormat="false" ht="9.75" hidden="false" customHeight="true" outlineLevel="0" collapsed="false">
      <c r="A37" s="1"/>
      <c r="B37" s="27" t="s">
        <v>246</v>
      </c>
      <c r="C37" s="27"/>
      <c r="D37" s="27"/>
      <c r="E37" s="27"/>
      <c r="F37" s="2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3"/>
      <c r="U37" s="3"/>
      <c r="V37" s="3"/>
      <c r="W37" s="3"/>
      <c r="X37" s="3"/>
    </row>
    <row r="38" customFormat="false" ht="14.25" hidden="false" customHeight="false" outlineLevel="0" collapsed="false">
      <c r="A38" s="1"/>
      <c r="B38" s="27"/>
      <c r="C38" s="27"/>
      <c r="D38" s="27"/>
      <c r="E38" s="27"/>
      <c r="F38" s="2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3"/>
      <c r="U38" s="3"/>
      <c r="V38" s="3"/>
      <c r="W38" s="3"/>
      <c r="X38" s="3"/>
    </row>
    <row r="39" customFormat="false" ht="14.2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3"/>
      <c r="U39" s="3"/>
      <c r="V39" s="3"/>
      <c r="W39" s="3"/>
      <c r="X39" s="3"/>
    </row>
    <row r="40" customFormat="false" ht="14.2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3"/>
      <c r="U40" s="3"/>
      <c r="V40" s="3"/>
      <c r="W40" s="3"/>
      <c r="X40" s="3"/>
    </row>
    <row r="41" customFormat="false" ht="14.2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customFormat="false" ht="14.2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customFormat="false" ht="14.2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customFormat="false" ht="14.2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customFormat="false" ht="14.2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customFormat="false" ht="14.2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customFormat="false" ht="14.25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customFormat="false" ht="14.25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customFormat="false" ht="14.2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customFormat="false" ht="14.2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customFormat="false" ht="14.2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customFormat="false" ht="14.2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customFormat="false" ht="14.2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customFormat="false" ht="14.2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customFormat="false" ht="14.2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customFormat="false" ht="14.2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customFormat="false" ht="14.2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customFormat="false" ht="14.2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customFormat="false" ht="14.2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customFormat="false" ht="14.2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customFormat="false" ht="14.2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customFormat="false" ht="14.2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customFormat="false" ht="14.2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customFormat="false" ht="14.2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customFormat="false" ht="14.2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customFormat="false" ht="14.2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customFormat="false" ht="14.2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customFormat="false" ht="14.2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customFormat="false" ht="14.2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customFormat="false" ht="14.2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</sheetData>
  <mergeCells count="39">
    <mergeCell ref="A1:V1"/>
    <mergeCell ref="W1:X1"/>
    <mergeCell ref="A2:X2"/>
    <mergeCell ref="B4:C4"/>
    <mergeCell ref="D4:E4"/>
    <mergeCell ref="F4:G4"/>
    <mergeCell ref="H4:I4"/>
    <mergeCell ref="J4:K4"/>
    <mergeCell ref="L4:M4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6:M6"/>
    <mergeCell ref="B8:F8"/>
    <mergeCell ref="H8:L8"/>
    <mergeCell ref="B20:E20"/>
    <mergeCell ref="D21:E21"/>
    <mergeCell ref="H25:L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J36:L36"/>
    <mergeCell ref="B37:F38"/>
  </mergeCells>
  <conditionalFormatting sqref="F10:F16">
    <cfRule type="dataBar" priority="2">
      <dataBar showValue="1" minLength="10" maxLength="90">
        <cfvo type="num" val="0"/>
        <cfvo type="max" val="0"/>
        <color rgb="FF157A52"/>
      </dataBar>
      <extLst>
        <ext xmlns:x14="http://schemas.microsoft.com/office/spreadsheetml/2009/9/main" uri="{B025F937-C7B1-47D3-B67F-A62EFF666E3E}">
          <x14:id>{8AD93BDC-B9A6-443A-8250-C557A973A2B9}</x14:id>
        </ext>
      </extLst>
    </cfRule>
  </conditionalFormatting>
  <conditionalFormatting sqref="C22:C33">
    <cfRule type="dataBar" priority="3">
      <dataBar showValue="1" minLength="10" maxLength="90">
        <cfvo type="num" val="0"/>
        <cfvo type="max" val="0"/>
        <color rgb="FFC9A227"/>
      </dataBar>
      <extLst>
        <ext xmlns:x14="http://schemas.microsoft.com/office/spreadsheetml/2009/9/main" uri="{B025F937-C7B1-47D3-B67F-A62EFF666E3E}">
          <x14:id>{FCB775E9-9C3F-4F9A-B1ED-609B72391149}</x14:id>
        </ext>
      </extLst>
    </cfRule>
  </conditionalFormatting>
  <conditionalFormatting sqref="J10:J21">
    <cfRule type="dataBar" priority="4">
      <dataBar showValue="1" minLength="10" maxLength="90">
        <cfvo type="num" val="0"/>
        <cfvo type="max" val="0"/>
        <color rgb="FF157A52"/>
      </dataBar>
      <extLst>
        <ext xmlns:x14="http://schemas.microsoft.com/office/spreadsheetml/2009/9/main" uri="{B025F937-C7B1-47D3-B67F-A62EFF666E3E}">
          <x14:id>{CFCD6897-DACC-441A-BDD3-D756F2CF3577}</x14:id>
        </ext>
      </extLst>
    </cfRule>
  </conditionalFormatting>
  <conditionalFormatting sqref="K10:K21">
    <cfRule type="dataBar" priority="5">
      <dataBar showValue="1" minLength="10" maxLength="90">
        <cfvo type="num" val="0"/>
        <cfvo type="max" val="0"/>
        <color rgb="FFD9A39C"/>
      </dataBar>
      <extLst>
        <ext xmlns:x14="http://schemas.microsoft.com/office/spreadsheetml/2009/9/main" uri="{B025F937-C7B1-47D3-B67F-A62EFF666E3E}">
          <x14:id>{8F561436-4670-4890-8438-7EFBCA86494D}</x14:id>
        </ext>
      </extLst>
    </cfRule>
  </conditionalFormatting>
  <conditionalFormatting sqref="L27:L35">
    <cfRule type="cellIs" priority="6" operator="lessThan" aboveAverage="0" equalAverage="0" bottom="0" percent="0" rank="0" text="" dxfId="9">
      <formula>0</formula>
    </cfRule>
  </conditionalFormatting>
  <conditionalFormatting sqref="J36:L36">
    <cfRule type="expression" priority="7" aboveAverage="0" equalAverage="0" bottom="0" percent="0" rank="0" text="" dxfId="0">
      <formula>LEFT($J$36,1)="✔"</formula>
    </cfRule>
    <cfRule type="expression" priority="8" aboveAverage="0" equalAverage="0" bottom="0" percent="0" rank="0" text="" dxfId="1">
      <formula>LEFT($J$36,1)="●"</formula>
    </cfRule>
    <cfRule type="expression" priority="9" aboveAverage="0" equalAverage="0" bottom="0" percent="0" rank="0" text="" dxfId="1">
      <formula>LEFT($J$36,1)="○"</formula>
    </cfRule>
    <cfRule type="expression" priority="10" aboveAverage="0" equalAverage="0" bottom="0" percent="0" rank="0" text="" dxfId="2">
      <formula>LEFT($J$36,1)="⚠"</formula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D93BDC-B9A6-443A-8250-C557A973A2B9}">
            <x14:dataBar minLength="10" maxLength="90" axisPosition="none" gradient="true">
              <x14:cfvo type="num">
                <xm:f>0</xm:f>
              </x14:cfvo>
              <x14:cfvo type="max"/>
              <x14:negativeFillColor rgb="FF157A52"/>
              <x14:axisColor rgb="FF000000"/>
            </x14:dataBar>
          </x14:cfRule>
          <xm:sqref>F10:F16</xm:sqref>
        </x14:conditionalFormatting>
        <x14:conditionalFormatting xmlns:xm="http://schemas.microsoft.com/office/excel/2006/main">
          <x14:cfRule type="dataBar" id="{FCB775E9-9C3F-4F9A-B1ED-609B72391149}">
            <x14:dataBar minLength="10" maxLength="90" axisPosition="none" gradient="true">
              <x14:cfvo type="num">
                <xm:f>0</xm:f>
              </x14:cfvo>
              <x14:cfvo type="max"/>
              <x14:negativeFillColor rgb="FFC9A227"/>
              <x14:axisColor rgb="FF000000"/>
            </x14:dataBar>
          </x14:cfRule>
          <xm:sqref>C22:C33</xm:sqref>
        </x14:conditionalFormatting>
        <x14:conditionalFormatting xmlns:xm="http://schemas.microsoft.com/office/excel/2006/main">
          <x14:cfRule type="dataBar" id="{CFCD6897-DACC-441A-BDD3-D756F2CF3577}">
            <x14:dataBar minLength="10" maxLength="90" axisPosition="none" gradient="true">
              <x14:cfvo type="num">
                <xm:f>0</xm:f>
              </x14:cfvo>
              <x14:cfvo type="max"/>
              <x14:negativeFillColor rgb="FF157A52"/>
              <x14:axisColor rgb="FF000000"/>
            </x14:dataBar>
          </x14:cfRule>
          <xm:sqref>J10:J21</xm:sqref>
        </x14:conditionalFormatting>
        <x14:conditionalFormatting xmlns:xm="http://schemas.microsoft.com/office/excel/2006/main">
          <x14:cfRule type="dataBar" id="{8F561436-4670-4890-8438-7EFBCA86494D}">
            <x14:dataBar minLength="10" maxLength="90" axisPosition="none" gradient="true">
              <x14:cfvo type="num">
                <xm:f>0</xm:f>
              </x14:cfvo>
              <x14:cfvo type="max"/>
              <x14:negativeFillColor rgb="FFD9A39C"/>
              <x14:axisColor rgb="FF000000"/>
            </x14:dataBar>
          </x14:cfRule>
          <xm:sqref>K10:K21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26"/>
    <col collapsed="false" customWidth="true" hidden="false" outlineLevel="0" max="6" min="3" style="0" width="19"/>
    <col collapsed="false" customWidth="true" hidden="false" outlineLevel="0" max="7" min="7" style="0" width="2.2"/>
  </cols>
  <sheetData>
    <row r="1" customFormat="false" ht="33.75" hidden="false" customHeight="true" outlineLevel="0" collapsed="false">
      <c r="A1" s="2" t="s">
        <v>247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8" t="str">
        <f aca="false">HYPERLINK("#Beranda!A1","⌂  Beranda")</f>
        <v>⌂  Beranda</v>
      </c>
      <c r="N1" s="28"/>
    </row>
    <row r="2" customFormat="false" ht="15.75" hidden="false" customHeight="true" outlineLevel="0" collapsed="false">
      <c r="A2" s="5" t="s">
        <v>248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16"/>
    </row>
    <row r="4" customFormat="false" ht="25.5" hidden="false" customHeight="true" outlineLevel="0" collapsed="false">
      <c r="A4" s="31"/>
      <c r="B4" s="44" t="s">
        <v>227</v>
      </c>
      <c r="C4" s="56" t="s">
        <v>223</v>
      </c>
      <c r="D4" s="56" t="s">
        <v>224</v>
      </c>
      <c r="E4" s="56" t="s">
        <v>249</v>
      </c>
      <c r="F4" s="56" t="s">
        <v>225</v>
      </c>
      <c r="G4" s="31"/>
      <c r="H4" s="31"/>
      <c r="I4" s="31"/>
      <c r="J4" s="31"/>
      <c r="K4" s="31"/>
      <c r="L4" s="31"/>
      <c r="M4" s="31"/>
      <c r="N4" s="117"/>
    </row>
    <row r="5" customFormat="false" ht="21.75" hidden="false" customHeight="true" outlineLevel="0" collapsed="false">
      <c r="A5" s="31"/>
      <c r="B5" s="118" t="s">
        <v>250</v>
      </c>
      <c r="C5" s="119"/>
      <c r="D5" s="119"/>
      <c r="E5" s="119"/>
      <c r="F5" s="120" t="n">
        <f aca="false">SaldoAwalKas</f>
        <v>15000000</v>
      </c>
      <c r="G5" s="31"/>
      <c r="H5" s="31"/>
      <c r="I5" s="31"/>
      <c r="J5" s="31"/>
      <c r="K5" s="31"/>
      <c r="L5" s="31"/>
      <c r="M5" s="31"/>
      <c r="N5" s="117"/>
    </row>
    <row r="6" customFormat="false" ht="18.75" hidden="false" customHeight="true" outlineLevel="0" collapsed="false">
      <c r="A6" s="31"/>
      <c r="B6" s="75" t="s">
        <v>229</v>
      </c>
      <c r="C6" s="77" t="n">
        <f aca="false">SUMIFS(Penerimaan!$J$6:$J$400,Penerimaan!$H$6:$H$400,"Tunai",Penerimaan!$C$6:$C$400,1)</f>
        <v>16970000</v>
      </c>
      <c r="D6" s="77" t="n">
        <f aca="false">SUMIFS(Pengeluaran!$J$6:$J$400,Pengeluaran!$H$6:$H$400,"Tunai",Pengeluaran!$C$6:$C$400,1)</f>
        <v>8500000</v>
      </c>
      <c r="E6" s="77" t="n">
        <f aca="false">C6-D6</f>
        <v>8470000</v>
      </c>
      <c r="F6" s="103" t="n">
        <f aca="false">F5+E6</f>
        <v>23470000</v>
      </c>
      <c r="G6" s="31"/>
      <c r="H6" s="31"/>
      <c r="I6" s="31"/>
      <c r="J6" s="31"/>
      <c r="K6" s="31"/>
      <c r="L6" s="31"/>
      <c r="M6" s="31"/>
      <c r="N6" s="117"/>
    </row>
    <row r="7" customFormat="false" ht="18.75" hidden="false" customHeight="true" outlineLevel="0" collapsed="false">
      <c r="A7" s="31"/>
      <c r="B7" s="80" t="s">
        <v>230</v>
      </c>
      <c r="C7" s="82" t="n">
        <f aca="false">SUMIFS(Penerimaan!$J$6:$J$400,Penerimaan!$H$6:$H$400,"Tunai",Penerimaan!$C$6:$C$400,2)</f>
        <v>18990000</v>
      </c>
      <c r="D7" s="82" t="n">
        <f aca="false">SUMIFS(Pengeluaran!$J$6:$J$400,Pengeluaran!$H$6:$H$400,"Tunai",Pengeluaran!$C$6:$C$400,2)</f>
        <v>6000000</v>
      </c>
      <c r="E7" s="82" t="n">
        <f aca="false">C7-D7</f>
        <v>12990000</v>
      </c>
      <c r="F7" s="105" t="n">
        <f aca="false">F6+E7</f>
        <v>36460000</v>
      </c>
      <c r="G7" s="31"/>
      <c r="H7" s="31"/>
      <c r="I7" s="31"/>
      <c r="J7" s="31"/>
      <c r="K7" s="31"/>
      <c r="L7" s="31"/>
      <c r="M7" s="31"/>
      <c r="N7" s="117"/>
    </row>
    <row r="8" customFormat="false" ht="18.75" hidden="false" customHeight="true" outlineLevel="0" collapsed="false">
      <c r="A8" s="31"/>
      <c r="B8" s="75" t="s">
        <v>231</v>
      </c>
      <c r="C8" s="77" t="n">
        <f aca="false">SUMIFS(Penerimaan!$J$6:$J$400,Penerimaan!$H$6:$H$400,"Tunai",Penerimaan!$C$6:$C$400,3)</f>
        <v>40910000</v>
      </c>
      <c r="D8" s="77" t="n">
        <f aca="false">SUMIFS(Pengeluaran!$J$6:$J$400,Pengeluaran!$H$6:$H$400,"Tunai",Pengeluaran!$C$6:$C$400,3)</f>
        <v>22200000</v>
      </c>
      <c r="E8" s="77" t="n">
        <f aca="false">C8-D8</f>
        <v>18710000</v>
      </c>
      <c r="F8" s="103" t="n">
        <f aca="false">F7+E8</f>
        <v>55170000</v>
      </c>
      <c r="G8" s="31"/>
      <c r="H8" s="31"/>
      <c r="I8" s="31"/>
      <c r="J8" s="31"/>
      <c r="K8" s="31"/>
      <c r="L8" s="31"/>
      <c r="M8" s="31"/>
      <c r="N8" s="117"/>
    </row>
    <row r="9" customFormat="false" ht="18.75" hidden="false" customHeight="true" outlineLevel="0" collapsed="false">
      <c r="A9" s="31"/>
      <c r="B9" s="80" t="s">
        <v>232</v>
      </c>
      <c r="C9" s="82" t="n">
        <f aca="false">SUMIFS(Penerimaan!$J$6:$J$400,Penerimaan!$H$6:$H$400,"Tunai",Penerimaan!$C$6:$C$400,4)</f>
        <v>17540000</v>
      </c>
      <c r="D9" s="82" t="n">
        <f aca="false">SUMIFS(Pengeluaran!$J$6:$J$400,Pengeluaran!$H$6:$H$400,"Tunai",Pengeluaran!$C$6:$C$400,4)</f>
        <v>10500000</v>
      </c>
      <c r="E9" s="82" t="n">
        <f aca="false">C9-D9</f>
        <v>7040000</v>
      </c>
      <c r="F9" s="105" t="n">
        <f aca="false">F8+E9</f>
        <v>62210000</v>
      </c>
      <c r="G9" s="31"/>
      <c r="H9" s="31"/>
      <c r="I9" s="31"/>
      <c r="J9" s="31"/>
      <c r="K9" s="31"/>
      <c r="L9" s="31"/>
      <c r="M9" s="31"/>
      <c r="N9" s="117"/>
    </row>
    <row r="10" customFormat="false" ht="18.75" hidden="false" customHeight="true" outlineLevel="0" collapsed="false">
      <c r="A10" s="31"/>
      <c r="B10" s="75" t="s">
        <v>233</v>
      </c>
      <c r="C10" s="77" t="n">
        <f aca="false">SUMIFS(Penerimaan!$J$6:$J$400,Penerimaan!$H$6:$H$400,"Tunai",Penerimaan!$C$6:$C$400,5)</f>
        <v>19980000</v>
      </c>
      <c r="D10" s="77" t="n">
        <f aca="false">SUMIFS(Pengeluaran!$J$6:$J$400,Pengeluaran!$H$6:$H$400,"Tunai",Pengeluaran!$C$6:$C$400,5)</f>
        <v>6000000</v>
      </c>
      <c r="E10" s="77" t="n">
        <f aca="false">C10-D10</f>
        <v>13980000</v>
      </c>
      <c r="F10" s="103" t="n">
        <f aca="false">F9+E10</f>
        <v>76190000</v>
      </c>
      <c r="G10" s="31"/>
      <c r="H10" s="31"/>
      <c r="I10" s="31"/>
      <c r="J10" s="31"/>
      <c r="K10" s="31"/>
      <c r="L10" s="31"/>
      <c r="M10" s="31"/>
      <c r="N10" s="117"/>
    </row>
    <row r="11" customFormat="false" ht="18.75" hidden="false" customHeight="true" outlineLevel="0" collapsed="false">
      <c r="A11" s="31"/>
      <c r="B11" s="80" t="s">
        <v>234</v>
      </c>
      <c r="C11" s="82" t="n">
        <f aca="false">SUMIFS(Penerimaan!$J$6:$J$400,Penerimaan!$H$6:$H$400,"Tunai",Penerimaan!$C$6:$C$400,6)</f>
        <v>16650000</v>
      </c>
      <c r="D11" s="82" t="n">
        <f aca="false">SUMIFS(Pengeluaran!$J$6:$J$400,Pengeluaran!$H$6:$H$400,"Tunai",Pengeluaran!$C$6:$C$400,6)</f>
        <v>6650000</v>
      </c>
      <c r="E11" s="82" t="n">
        <f aca="false">C11-D11</f>
        <v>10000000</v>
      </c>
      <c r="F11" s="105" t="n">
        <f aca="false">F10+E11</f>
        <v>86190000</v>
      </c>
      <c r="G11" s="31"/>
      <c r="H11" s="31"/>
      <c r="I11" s="31"/>
      <c r="J11" s="31"/>
      <c r="K11" s="31"/>
      <c r="L11" s="31"/>
      <c r="M11" s="31"/>
      <c r="N11" s="117"/>
    </row>
    <row r="12" customFormat="false" ht="18.75" hidden="false" customHeight="true" outlineLevel="0" collapsed="false">
      <c r="A12" s="31"/>
      <c r="B12" s="75" t="s">
        <v>235</v>
      </c>
      <c r="C12" s="77" t="n">
        <f aca="false">SUMIFS(Penerimaan!$J$6:$J$400,Penerimaan!$H$6:$H$400,"Tunai",Penerimaan!$C$6:$C$400,7)</f>
        <v>0</v>
      </c>
      <c r="D12" s="77" t="n">
        <f aca="false">SUMIFS(Pengeluaran!$J$6:$J$400,Pengeluaran!$H$6:$H$400,"Tunai",Pengeluaran!$C$6:$C$400,7)</f>
        <v>0</v>
      </c>
      <c r="E12" s="77" t="n">
        <f aca="false">C12-D12</f>
        <v>0</v>
      </c>
      <c r="F12" s="103" t="n">
        <f aca="false">F11+E12</f>
        <v>86190000</v>
      </c>
      <c r="G12" s="31"/>
      <c r="H12" s="31"/>
      <c r="I12" s="31"/>
      <c r="J12" s="31"/>
      <c r="K12" s="31"/>
      <c r="L12" s="31"/>
      <c r="M12" s="31"/>
      <c r="N12" s="117"/>
    </row>
    <row r="13" customFormat="false" ht="18.75" hidden="false" customHeight="true" outlineLevel="0" collapsed="false">
      <c r="A13" s="31"/>
      <c r="B13" s="80" t="s">
        <v>236</v>
      </c>
      <c r="C13" s="82" t="n">
        <f aca="false">SUMIFS(Penerimaan!$J$6:$J$400,Penerimaan!$H$6:$H$400,"Tunai",Penerimaan!$C$6:$C$400,8)</f>
        <v>0</v>
      </c>
      <c r="D13" s="82" t="n">
        <f aca="false">SUMIFS(Pengeluaran!$J$6:$J$400,Pengeluaran!$H$6:$H$400,"Tunai",Pengeluaran!$C$6:$C$400,8)</f>
        <v>0</v>
      </c>
      <c r="E13" s="82" t="n">
        <f aca="false">C13-D13</f>
        <v>0</v>
      </c>
      <c r="F13" s="105" t="n">
        <f aca="false">F12+E13</f>
        <v>86190000</v>
      </c>
      <c r="G13" s="31"/>
      <c r="H13" s="31"/>
      <c r="I13" s="31"/>
      <c r="J13" s="31"/>
      <c r="K13" s="31"/>
      <c r="L13" s="31"/>
      <c r="M13" s="31"/>
      <c r="N13" s="117"/>
    </row>
    <row r="14" customFormat="false" ht="18.75" hidden="false" customHeight="true" outlineLevel="0" collapsed="false">
      <c r="A14" s="31"/>
      <c r="B14" s="75" t="s">
        <v>237</v>
      </c>
      <c r="C14" s="77" t="n">
        <f aca="false">SUMIFS(Penerimaan!$J$6:$J$400,Penerimaan!$H$6:$H$400,"Tunai",Penerimaan!$C$6:$C$400,9)</f>
        <v>0</v>
      </c>
      <c r="D14" s="77" t="n">
        <f aca="false">SUMIFS(Pengeluaran!$J$6:$J$400,Pengeluaran!$H$6:$H$400,"Tunai",Pengeluaran!$C$6:$C$400,9)</f>
        <v>0</v>
      </c>
      <c r="E14" s="77" t="n">
        <f aca="false">C14-D14</f>
        <v>0</v>
      </c>
      <c r="F14" s="103" t="n">
        <f aca="false">F13+E14</f>
        <v>86190000</v>
      </c>
      <c r="G14" s="31"/>
      <c r="H14" s="31"/>
      <c r="I14" s="31"/>
      <c r="J14" s="31"/>
      <c r="K14" s="31"/>
      <c r="L14" s="31"/>
      <c r="M14" s="31"/>
      <c r="N14" s="117"/>
    </row>
    <row r="15" customFormat="false" ht="18.75" hidden="false" customHeight="true" outlineLevel="0" collapsed="false">
      <c r="A15" s="31"/>
      <c r="B15" s="80" t="s">
        <v>238</v>
      </c>
      <c r="C15" s="82" t="n">
        <f aca="false">SUMIFS(Penerimaan!$J$6:$J$400,Penerimaan!$H$6:$H$400,"Tunai",Penerimaan!$C$6:$C$400,10)</f>
        <v>0</v>
      </c>
      <c r="D15" s="82" t="n">
        <f aca="false">SUMIFS(Pengeluaran!$J$6:$J$400,Pengeluaran!$H$6:$H$400,"Tunai",Pengeluaran!$C$6:$C$400,10)</f>
        <v>0</v>
      </c>
      <c r="E15" s="82" t="n">
        <f aca="false">C15-D15</f>
        <v>0</v>
      </c>
      <c r="F15" s="105" t="n">
        <f aca="false">F14+E15</f>
        <v>86190000</v>
      </c>
      <c r="G15" s="31"/>
      <c r="H15" s="31"/>
      <c r="I15" s="31"/>
      <c r="J15" s="31"/>
      <c r="K15" s="31"/>
      <c r="L15" s="31"/>
      <c r="M15" s="31"/>
      <c r="N15" s="117"/>
    </row>
    <row r="16" customFormat="false" ht="18.75" hidden="false" customHeight="true" outlineLevel="0" collapsed="false">
      <c r="A16" s="31"/>
      <c r="B16" s="75" t="s">
        <v>240</v>
      </c>
      <c r="C16" s="77" t="n">
        <f aca="false">SUMIFS(Penerimaan!$J$6:$J$400,Penerimaan!$H$6:$H$400,"Tunai",Penerimaan!$C$6:$C$400,11)</f>
        <v>0</v>
      </c>
      <c r="D16" s="77" t="n">
        <f aca="false">SUMIFS(Pengeluaran!$J$6:$J$400,Pengeluaran!$H$6:$H$400,"Tunai",Pengeluaran!$C$6:$C$400,11)</f>
        <v>0</v>
      </c>
      <c r="E16" s="77" t="n">
        <f aca="false">C16-D16</f>
        <v>0</v>
      </c>
      <c r="F16" s="103" t="n">
        <f aca="false">F15+E16</f>
        <v>86190000</v>
      </c>
      <c r="G16" s="31"/>
      <c r="H16" s="31"/>
      <c r="I16" s="31"/>
      <c r="J16" s="31"/>
      <c r="K16" s="31"/>
      <c r="L16" s="31"/>
      <c r="M16" s="31"/>
      <c r="N16" s="117"/>
    </row>
    <row r="17" customFormat="false" ht="18.75" hidden="false" customHeight="true" outlineLevel="0" collapsed="false">
      <c r="A17" s="31"/>
      <c r="B17" s="80" t="s">
        <v>243</v>
      </c>
      <c r="C17" s="82" t="n">
        <f aca="false">SUMIFS(Penerimaan!$J$6:$J$400,Penerimaan!$H$6:$H$400,"Tunai",Penerimaan!$C$6:$C$400,12)</f>
        <v>0</v>
      </c>
      <c r="D17" s="82" t="n">
        <f aca="false">SUMIFS(Pengeluaran!$J$6:$J$400,Pengeluaran!$H$6:$H$400,"Tunai",Pengeluaran!$C$6:$C$400,12)</f>
        <v>0</v>
      </c>
      <c r="E17" s="82" t="n">
        <f aca="false">C17-D17</f>
        <v>0</v>
      </c>
      <c r="F17" s="105" t="n">
        <f aca="false">F16+E17</f>
        <v>86190000</v>
      </c>
      <c r="G17" s="31"/>
      <c r="H17" s="31"/>
      <c r="I17" s="31"/>
      <c r="J17" s="31"/>
      <c r="K17" s="31"/>
      <c r="L17" s="31"/>
      <c r="M17" s="31"/>
      <c r="N17" s="117"/>
    </row>
    <row r="18" customFormat="false" ht="21.75" hidden="false" customHeight="true" outlineLevel="0" collapsed="false">
      <c r="A18" s="31"/>
      <c r="B18" s="85" t="s">
        <v>184</v>
      </c>
      <c r="C18" s="86" t="n">
        <f aca="false">SUM(C6:C17)</f>
        <v>131040000</v>
      </c>
      <c r="D18" s="86" t="n">
        <f aca="false">SUM(D6:D17)</f>
        <v>59850000</v>
      </c>
      <c r="E18" s="86" t="n">
        <f aca="false">SUM(E6:E17)</f>
        <v>71190000</v>
      </c>
      <c r="F18" s="107" t="n">
        <f aca="false">F17</f>
        <v>86190000</v>
      </c>
      <c r="G18" s="31"/>
      <c r="H18" s="31"/>
      <c r="I18" s="31"/>
      <c r="J18" s="31"/>
      <c r="K18" s="31"/>
      <c r="L18" s="31"/>
      <c r="M18" s="31"/>
      <c r="N18" s="117"/>
    </row>
    <row r="19" customFormat="false" ht="14.25" hidden="false" customHeight="false" outlineLevel="0" collapsed="false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17"/>
    </row>
    <row r="20" customFormat="false" ht="14.25" hidden="false" customHeight="fals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117"/>
    </row>
    <row r="21" customFormat="false" ht="14.25" hidden="false" customHeight="false" outlineLevel="0" collapsed="false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117"/>
    </row>
    <row r="22" customFormat="false" ht="14.25" hidden="false" customHeight="false" outlineLevel="0" collapsed="false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117"/>
    </row>
    <row r="23" customFormat="false" ht="14.25" hidden="false" customHeight="false" outlineLevel="0" collapsed="false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</row>
    <row r="24" customFormat="false" ht="14.25" hidden="false" customHeight="false" outlineLevel="0" collapsed="false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</row>
    <row r="25" customFormat="false" ht="14.25" hidden="false" customHeight="false" outlineLevel="0" collapsed="false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</row>
    <row r="26" customFormat="false" ht="14.25" hidden="false" customHeight="false" outlineLevel="0" collapsed="false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</row>
    <row r="27" customFormat="false" ht="14.25" hidden="false" customHeight="false" outlineLevel="0" collapsed="false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</row>
    <row r="28" customFormat="false" ht="14.25" hidden="false" customHeight="false" outlineLevel="0" collapsed="false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</row>
    <row r="29" customFormat="false" ht="14.25" hidden="false" customHeight="false" outlineLevel="0" collapsed="false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</row>
  </sheetData>
  <mergeCells count="3">
    <mergeCell ref="A1:L1"/>
    <mergeCell ref="M1:N1"/>
    <mergeCell ref="A2:N2"/>
  </mergeCells>
  <conditionalFormatting sqref="E6:E17">
    <cfRule type="cellIs" priority="2" operator="lessThan" aboveAverage="0" equalAverage="0" bottom="0" percent="0" rank="0" text="" dxfId="9">
      <formula>0</formula>
    </cfRule>
  </conditionalFormatting>
  <conditionalFormatting sqref="F6:F17">
    <cfRule type="dataBar" priority="3">
      <dataBar showValue="1" minLength="10" maxLength="90">
        <cfvo type="num" val="0"/>
        <cfvo type="max" val="0"/>
        <color rgb="FF157A52"/>
      </dataBar>
      <extLst>
        <ext xmlns:x14="http://schemas.microsoft.com/office/spreadsheetml/2009/9/main" uri="{B025F937-C7B1-47D3-B67F-A62EFF666E3E}">
          <x14:id>{D671E259-534F-44F3-A14B-9ABB30505DEF}</x14:id>
        </ext>
      </extLst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71E259-534F-44F3-A14B-9ABB30505DEF}">
            <x14:dataBar minLength="10" maxLength="90" axisPosition="none" gradient="true">
              <x14:cfvo type="num">
                <xm:f>0</xm:f>
              </x14:cfvo>
              <x14:cfvo type="max"/>
              <x14:negativeFillColor rgb="FF157A52"/>
              <x14:axisColor rgb="FF000000"/>
            </x14:dataBar>
          </x14:cfRule>
          <xm:sqref>F6:F17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1543C"/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26"/>
    <col collapsed="false" customWidth="true" hidden="false" outlineLevel="0" max="6" min="3" style="0" width="19"/>
    <col collapsed="false" customWidth="true" hidden="false" outlineLevel="0" max="7" min="7" style="0" width="2.2"/>
  </cols>
  <sheetData>
    <row r="1" customFormat="false" ht="33.75" hidden="false" customHeight="true" outlineLevel="0" collapsed="false">
      <c r="A1" s="2" t="s">
        <v>251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8" t="str">
        <f aca="false">HYPERLINK("#Beranda!A1","⌂  Beranda")</f>
        <v>⌂  Beranda</v>
      </c>
      <c r="N1" s="28"/>
    </row>
    <row r="2" customFormat="false" ht="15.75" hidden="false" customHeight="true" outlineLevel="0" collapsed="false">
      <c r="A2" s="5" t="s">
        <v>252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9.75" hidden="false" customHeight="true" outlineLevel="0" collapsed="false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16"/>
    </row>
    <row r="4" customFormat="false" ht="25.5" hidden="false" customHeight="true" outlineLevel="0" collapsed="false">
      <c r="A4" s="31"/>
      <c r="B4" s="44" t="s">
        <v>227</v>
      </c>
      <c r="C4" s="56" t="s">
        <v>223</v>
      </c>
      <c r="D4" s="56" t="s">
        <v>224</v>
      </c>
      <c r="E4" s="56" t="s">
        <v>249</v>
      </c>
      <c r="F4" s="56" t="s">
        <v>225</v>
      </c>
      <c r="G4" s="31"/>
      <c r="H4" s="31"/>
      <c r="I4" s="31"/>
      <c r="J4" s="31"/>
      <c r="K4" s="31"/>
      <c r="L4" s="31"/>
      <c r="M4" s="31"/>
      <c r="N4" s="117"/>
    </row>
    <row r="5" customFormat="false" ht="21.75" hidden="false" customHeight="true" outlineLevel="0" collapsed="false">
      <c r="A5" s="31"/>
      <c r="B5" s="118" t="s">
        <v>250</v>
      </c>
      <c r="C5" s="119"/>
      <c r="D5" s="119"/>
      <c r="E5" s="119"/>
      <c r="F5" s="120" t="n">
        <f aca="false">SaldoAwalBank</f>
        <v>85000000</v>
      </c>
      <c r="G5" s="31"/>
      <c r="H5" s="31"/>
      <c r="I5" s="31"/>
      <c r="J5" s="31"/>
      <c r="K5" s="31"/>
      <c r="L5" s="31"/>
      <c r="M5" s="31"/>
      <c r="N5" s="117"/>
    </row>
    <row r="6" customFormat="false" ht="18.75" hidden="false" customHeight="true" outlineLevel="0" collapsed="false">
      <c r="A6" s="31"/>
      <c r="B6" s="75" t="s">
        <v>229</v>
      </c>
      <c r="C6" s="77" t="n">
        <f aca="false">SUMIFS(Penerimaan!$J$6:$J$400,Penerimaan!$H$6:$H$400,"Transfer Bank",Penerimaan!$C$6:$C$400,1)+SUMIFS(Penerimaan!$J$6:$J$400,Penerimaan!$H$6:$H$400,"QRIS",Penerimaan!$C$6:$C$400,1)</f>
        <v>17310000</v>
      </c>
      <c r="D6" s="77" t="n">
        <f aca="false">SUMIFS(Pengeluaran!$J$6:$J$400,Pengeluaran!$H$6:$H$400,"Transfer Bank",Pengeluaran!$C$6:$C$400,1)+SUMIFS(Pengeluaran!$J$6:$J$400,Pengeluaran!$H$6:$H$400,"QRIS",Pengeluaran!$C$6:$C$400,1)</f>
        <v>13785000</v>
      </c>
      <c r="E6" s="77" t="n">
        <f aca="false">C6-D6</f>
        <v>3525000</v>
      </c>
      <c r="F6" s="103" t="n">
        <f aca="false">F5+E6</f>
        <v>88525000</v>
      </c>
      <c r="G6" s="31"/>
      <c r="H6" s="31"/>
      <c r="I6" s="31"/>
      <c r="J6" s="31"/>
      <c r="K6" s="31"/>
      <c r="L6" s="31"/>
      <c r="M6" s="31"/>
      <c r="N6" s="117"/>
    </row>
    <row r="7" customFormat="false" ht="18.75" hidden="false" customHeight="true" outlineLevel="0" collapsed="false">
      <c r="A7" s="31"/>
      <c r="B7" s="80" t="s">
        <v>230</v>
      </c>
      <c r="C7" s="82" t="n">
        <f aca="false">SUMIFS(Penerimaan!$J$6:$J$400,Penerimaan!$H$6:$H$400,"Transfer Bank",Penerimaan!$C$6:$C$400,2)+SUMIFS(Penerimaan!$J$6:$J$400,Penerimaan!$H$6:$H$400,"QRIS",Penerimaan!$C$6:$C$400,2)</f>
        <v>14870000</v>
      </c>
      <c r="D7" s="82" t="n">
        <f aca="false">SUMIFS(Pengeluaran!$J$6:$J$400,Pengeluaran!$H$6:$H$400,"Transfer Bank",Pengeluaran!$C$6:$C$400,2)+SUMIFS(Pengeluaran!$J$6:$J$400,Pengeluaran!$H$6:$H$400,"QRIS",Pengeluaran!$C$6:$C$400,2)</f>
        <v>5520000</v>
      </c>
      <c r="E7" s="82" t="n">
        <f aca="false">C7-D7</f>
        <v>9350000</v>
      </c>
      <c r="F7" s="105" t="n">
        <f aca="false">F6+E7</f>
        <v>97875000</v>
      </c>
      <c r="G7" s="31"/>
      <c r="H7" s="31"/>
      <c r="I7" s="31"/>
      <c r="J7" s="31"/>
      <c r="K7" s="31"/>
      <c r="L7" s="31"/>
      <c r="M7" s="31"/>
      <c r="N7" s="117"/>
    </row>
    <row r="8" customFormat="false" ht="18.75" hidden="false" customHeight="true" outlineLevel="0" collapsed="false">
      <c r="A8" s="31"/>
      <c r="B8" s="75" t="s">
        <v>231</v>
      </c>
      <c r="C8" s="77" t="n">
        <f aca="false">SUMIFS(Penerimaan!$J$6:$J$400,Penerimaan!$H$6:$H$400,"Transfer Bank",Penerimaan!$C$6:$C$400,3)+SUMIFS(Penerimaan!$J$6:$J$400,Penerimaan!$H$6:$H$400,"QRIS",Penerimaan!$C$6:$C$400,3)</f>
        <v>13680000</v>
      </c>
      <c r="D8" s="77" t="n">
        <f aca="false">SUMIFS(Pengeluaran!$J$6:$J$400,Pengeluaran!$H$6:$H$400,"Transfer Bank",Pengeluaran!$C$6:$C$400,3)+SUMIFS(Pengeluaran!$J$6:$J$400,Pengeluaran!$H$6:$H$400,"QRIS",Pengeluaran!$C$6:$C$400,3)</f>
        <v>26505000</v>
      </c>
      <c r="E8" s="77" t="n">
        <f aca="false">C8-D8</f>
        <v>-12825000</v>
      </c>
      <c r="F8" s="103" t="n">
        <f aca="false">F7+E8</f>
        <v>85050000</v>
      </c>
      <c r="G8" s="31"/>
      <c r="H8" s="31"/>
      <c r="I8" s="31"/>
      <c r="J8" s="31"/>
      <c r="K8" s="31"/>
      <c r="L8" s="31"/>
      <c r="M8" s="31"/>
      <c r="N8" s="117"/>
    </row>
    <row r="9" customFormat="false" ht="18.75" hidden="false" customHeight="true" outlineLevel="0" collapsed="false">
      <c r="A9" s="31"/>
      <c r="B9" s="80" t="s">
        <v>232</v>
      </c>
      <c r="C9" s="82" t="n">
        <f aca="false">SUMIFS(Penerimaan!$J$6:$J$400,Penerimaan!$H$6:$H$400,"Transfer Bank",Penerimaan!$C$6:$C$400,4)+SUMIFS(Penerimaan!$J$6:$J$400,Penerimaan!$H$6:$H$400,"QRIS",Penerimaan!$C$6:$C$400,4)</f>
        <v>22490000</v>
      </c>
      <c r="D9" s="82" t="n">
        <f aca="false">SUMIFS(Pengeluaran!$J$6:$J$400,Pengeluaran!$H$6:$H$400,"Transfer Bank",Pengeluaran!$C$6:$C$400,4)+SUMIFS(Pengeluaran!$J$6:$J$400,Pengeluaran!$H$6:$H$400,"QRIS",Pengeluaran!$C$6:$C$400,4)</f>
        <v>1390000</v>
      </c>
      <c r="E9" s="82" t="n">
        <f aca="false">C9-D9</f>
        <v>21100000</v>
      </c>
      <c r="F9" s="105" t="n">
        <f aca="false">F8+E9</f>
        <v>106150000</v>
      </c>
      <c r="G9" s="31"/>
      <c r="H9" s="31"/>
      <c r="I9" s="31"/>
      <c r="J9" s="31"/>
      <c r="K9" s="31"/>
      <c r="L9" s="31"/>
      <c r="M9" s="31"/>
      <c r="N9" s="117"/>
    </row>
    <row r="10" customFormat="false" ht="18.75" hidden="false" customHeight="true" outlineLevel="0" collapsed="false">
      <c r="A10" s="31"/>
      <c r="B10" s="75" t="s">
        <v>233</v>
      </c>
      <c r="C10" s="77" t="n">
        <f aca="false">SUMIFS(Penerimaan!$J$6:$J$400,Penerimaan!$H$6:$H$400,"Transfer Bank",Penerimaan!$C$6:$C$400,5)+SUMIFS(Penerimaan!$J$6:$J$400,Penerimaan!$H$6:$H$400,"QRIS",Penerimaan!$C$6:$C$400,5)</f>
        <v>16050000</v>
      </c>
      <c r="D10" s="77" t="n">
        <f aca="false">SUMIFS(Pengeluaran!$J$6:$J$400,Pengeluaran!$H$6:$H$400,"Transfer Bank",Pengeluaran!$C$6:$C$400,5)+SUMIFS(Pengeluaran!$J$6:$J$400,Pengeluaran!$H$6:$H$400,"QRIS",Pengeluaran!$C$6:$C$400,5)</f>
        <v>16725000</v>
      </c>
      <c r="E10" s="77" t="n">
        <f aca="false">C10-D10</f>
        <v>-675000</v>
      </c>
      <c r="F10" s="103" t="n">
        <f aca="false">F9+E10</f>
        <v>105475000</v>
      </c>
      <c r="G10" s="31"/>
      <c r="H10" s="31"/>
      <c r="I10" s="31"/>
      <c r="J10" s="31"/>
      <c r="K10" s="31"/>
      <c r="L10" s="31"/>
      <c r="M10" s="31"/>
      <c r="N10" s="117"/>
    </row>
    <row r="11" customFormat="false" ht="18.75" hidden="false" customHeight="true" outlineLevel="0" collapsed="false">
      <c r="A11" s="31"/>
      <c r="B11" s="80" t="s">
        <v>234</v>
      </c>
      <c r="C11" s="82" t="n">
        <f aca="false">SUMIFS(Penerimaan!$J$6:$J$400,Penerimaan!$H$6:$H$400,"Transfer Bank",Penerimaan!$C$6:$C$400,6)+SUMIFS(Penerimaan!$J$6:$J$400,Penerimaan!$H$6:$H$400,"QRIS",Penerimaan!$C$6:$C$400,6)</f>
        <v>28610000</v>
      </c>
      <c r="D11" s="82" t="n">
        <f aca="false">SUMIFS(Pengeluaran!$J$6:$J$400,Pengeluaran!$H$6:$H$400,"Transfer Bank",Pengeluaran!$C$6:$C$400,6)+SUMIFS(Pengeluaran!$J$6:$J$400,Pengeluaran!$H$6:$H$400,"QRIS",Pengeluaran!$C$6:$C$400,6)</f>
        <v>11460000</v>
      </c>
      <c r="E11" s="82" t="n">
        <f aca="false">C11-D11</f>
        <v>17150000</v>
      </c>
      <c r="F11" s="105" t="n">
        <f aca="false">F10+E11</f>
        <v>122625000</v>
      </c>
      <c r="G11" s="31"/>
      <c r="H11" s="31"/>
      <c r="I11" s="31"/>
      <c r="J11" s="31"/>
      <c r="K11" s="31"/>
      <c r="L11" s="31"/>
      <c r="M11" s="31"/>
      <c r="N11" s="117"/>
    </row>
    <row r="12" customFormat="false" ht="18.75" hidden="false" customHeight="true" outlineLevel="0" collapsed="false">
      <c r="A12" s="31"/>
      <c r="B12" s="75" t="s">
        <v>235</v>
      </c>
      <c r="C12" s="77" t="n">
        <f aca="false">SUMIFS(Penerimaan!$J$6:$J$400,Penerimaan!$H$6:$H$400,"Transfer Bank",Penerimaan!$C$6:$C$400,7)+SUMIFS(Penerimaan!$J$6:$J$400,Penerimaan!$H$6:$H$400,"QRIS",Penerimaan!$C$6:$C$400,7)</f>
        <v>0</v>
      </c>
      <c r="D12" s="77" t="n">
        <f aca="false">SUMIFS(Pengeluaran!$J$6:$J$400,Pengeluaran!$H$6:$H$400,"Transfer Bank",Pengeluaran!$C$6:$C$400,7)+SUMIFS(Pengeluaran!$J$6:$J$400,Pengeluaran!$H$6:$H$400,"QRIS",Pengeluaran!$C$6:$C$400,7)</f>
        <v>0</v>
      </c>
      <c r="E12" s="77" t="n">
        <f aca="false">C12-D12</f>
        <v>0</v>
      </c>
      <c r="F12" s="103" t="n">
        <f aca="false">F11+E12</f>
        <v>122625000</v>
      </c>
      <c r="G12" s="31"/>
      <c r="H12" s="31"/>
      <c r="I12" s="31"/>
      <c r="J12" s="31"/>
      <c r="K12" s="31"/>
      <c r="L12" s="31"/>
      <c r="M12" s="31"/>
      <c r="N12" s="117"/>
    </row>
    <row r="13" customFormat="false" ht="18.75" hidden="false" customHeight="true" outlineLevel="0" collapsed="false">
      <c r="A13" s="31"/>
      <c r="B13" s="80" t="s">
        <v>236</v>
      </c>
      <c r="C13" s="82" t="n">
        <f aca="false">SUMIFS(Penerimaan!$J$6:$J$400,Penerimaan!$H$6:$H$400,"Transfer Bank",Penerimaan!$C$6:$C$400,8)+SUMIFS(Penerimaan!$J$6:$J$400,Penerimaan!$H$6:$H$400,"QRIS",Penerimaan!$C$6:$C$400,8)</f>
        <v>0</v>
      </c>
      <c r="D13" s="82" t="n">
        <f aca="false">SUMIFS(Pengeluaran!$J$6:$J$400,Pengeluaran!$H$6:$H$400,"Transfer Bank",Pengeluaran!$C$6:$C$400,8)+SUMIFS(Pengeluaran!$J$6:$J$400,Pengeluaran!$H$6:$H$400,"QRIS",Pengeluaran!$C$6:$C$400,8)</f>
        <v>0</v>
      </c>
      <c r="E13" s="82" t="n">
        <f aca="false">C13-D13</f>
        <v>0</v>
      </c>
      <c r="F13" s="105" t="n">
        <f aca="false">F12+E13</f>
        <v>122625000</v>
      </c>
      <c r="G13" s="31"/>
      <c r="H13" s="31"/>
      <c r="I13" s="31"/>
      <c r="J13" s="31"/>
      <c r="K13" s="31"/>
      <c r="L13" s="31"/>
      <c r="M13" s="31"/>
      <c r="N13" s="117"/>
    </row>
    <row r="14" customFormat="false" ht="18.75" hidden="false" customHeight="true" outlineLevel="0" collapsed="false">
      <c r="A14" s="31"/>
      <c r="B14" s="75" t="s">
        <v>237</v>
      </c>
      <c r="C14" s="77" t="n">
        <f aca="false">SUMIFS(Penerimaan!$J$6:$J$400,Penerimaan!$H$6:$H$400,"Transfer Bank",Penerimaan!$C$6:$C$400,9)+SUMIFS(Penerimaan!$J$6:$J$400,Penerimaan!$H$6:$H$400,"QRIS",Penerimaan!$C$6:$C$400,9)</f>
        <v>0</v>
      </c>
      <c r="D14" s="77" t="n">
        <f aca="false">SUMIFS(Pengeluaran!$J$6:$J$400,Pengeluaran!$H$6:$H$400,"Transfer Bank",Pengeluaran!$C$6:$C$400,9)+SUMIFS(Pengeluaran!$J$6:$J$400,Pengeluaran!$H$6:$H$400,"QRIS",Pengeluaran!$C$6:$C$400,9)</f>
        <v>0</v>
      </c>
      <c r="E14" s="77" t="n">
        <f aca="false">C14-D14</f>
        <v>0</v>
      </c>
      <c r="F14" s="103" t="n">
        <f aca="false">F13+E14</f>
        <v>122625000</v>
      </c>
      <c r="G14" s="31"/>
      <c r="H14" s="31"/>
      <c r="I14" s="31"/>
      <c r="J14" s="31"/>
      <c r="K14" s="31"/>
      <c r="L14" s="31"/>
      <c r="M14" s="31"/>
      <c r="N14" s="117"/>
    </row>
    <row r="15" customFormat="false" ht="18.75" hidden="false" customHeight="true" outlineLevel="0" collapsed="false">
      <c r="A15" s="31"/>
      <c r="B15" s="80" t="s">
        <v>238</v>
      </c>
      <c r="C15" s="82" t="n">
        <f aca="false">SUMIFS(Penerimaan!$J$6:$J$400,Penerimaan!$H$6:$H$400,"Transfer Bank",Penerimaan!$C$6:$C$400,10)+SUMIFS(Penerimaan!$J$6:$J$400,Penerimaan!$H$6:$H$400,"QRIS",Penerimaan!$C$6:$C$400,10)</f>
        <v>0</v>
      </c>
      <c r="D15" s="82" t="n">
        <f aca="false">SUMIFS(Pengeluaran!$J$6:$J$400,Pengeluaran!$H$6:$H$400,"Transfer Bank",Pengeluaran!$C$6:$C$400,10)+SUMIFS(Pengeluaran!$J$6:$J$400,Pengeluaran!$H$6:$H$400,"QRIS",Pengeluaran!$C$6:$C$400,10)</f>
        <v>0</v>
      </c>
      <c r="E15" s="82" t="n">
        <f aca="false">C15-D15</f>
        <v>0</v>
      </c>
      <c r="F15" s="105" t="n">
        <f aca="false">F14+E15</f>
        <v>122625000</v>
      </c>
      <c r="G15" s="31"/>
      <c r="H15" s="31"/>
      <c r="I15" s="31"/>
      <c r="J15" s="31"/>
      <c r="K15" s="31"/>
      <c r="L15" s="31"/>
      <c r="M15" s="31"/>
      <c r="N15" s="117"/>
    </row>
    <row r="16" customFormat="false" ht="18.75" hidden="false" customHeight="true" outlineLevel="0" collapsed="false">
      <c r="A16" s="31"/>
      <c r="B16" s="75" t="s">
        <v>240</v>
      </c>
      <c r="C16" s="77" t="n">
        <f aca="false">SUMIFS(Penerimaan!$J$6:$J$400,Penerimaan!$H$6:$H$400,"Transfer Bank",Penerimaan!$C$6:$C$400,11)+SUMIFS(Penerimaan!$J$6:$J$400,Penerimaan!$H$6:$H$400,"QRIS",Penerimaan!$C$6:$C$400,11)</f>
        <v>0</v>
      </c>
      <c r="D16" s="77" t="n">
        <f aca="false">SUMIFS(Pengeluaran!$J$6:$J$400,Pengeluaran!$H$6:$H$400,"Transfer Bank",Pengeluaran!$C$6:$C$400,11)+SUMIFS(Pengeluaran!$J$6:$J$400,Pengeluaran!$H$6:$H$400,"QRIS",Pengeluaran!$C$6:$C$400,11)</f>
        <v>0</v>
      </c>
      <c r="E16" s="77" t="n">
        <f aca="false">C16-D16</f>
        <v>0</v>
      </c>
      <c r="F16" s="103" t="n">
        <f aca="false">F15+E16</f>
        <v>122625000</v>
      </c>
      <c r="G16" s="31"/>
      <c r="H16" s="31"/>
      <c r="I16" s="31"/>
      <c r="J16" s="31"/>
      <c r="K16" s="31"/>
      <c r="L16" s="31"/>
      <c r="M16" s="31"/>
      <c r="N16" s="117"/>
    </row>
    <row r="17" customFormat="false" ht="18.75" hidden="false" customHeight="true" outlineLevel="0" collapsed="false">
      <c r="A17" s="31"/>
      <c r="B17" s="80" t="s">
        <v>243</v>
      </c>
      <c r="C17" s="82" t="n">
        <f aca="false">SUMIFS(Penerimaan!$J$6:$J$400,Penerimaan!$H$6:$H$400,"Transfer Bank",Penerimaan!$C$6:$C$400,12)+SUMIFS(Penerimaan!$J$6:$J$400,Penerimaan!$H$6:$H$400,"QRIS",Penerimaan!$C$6:$C$400,12)</f>
        <v>0</v>
      </c>
      <c r="D17" s="82" t="n">
        <f aca="false">SUMIFS(Pengeluaran!$J$6:$J$400,Pengeluaran!$H$6:$H$400,"Transfer Bank",Pengeluaran!$C$6:$C$400,12)+SUMIFS(Pengeluaran!$J$6:$J$400,Pengeluaran!$H$6:$H$400,"QRIS",Pengeluaran!$C$6:$C$400,12)</f>
        <v>0</v>
      </c>
      <c r="E17" s="82" t="n">
        <f aca="false">C17-D17</f>
        <v>0</v>
      </c>
      <c r="F17" s="105" t="n">
        <f aca="false">F16+E17</f>
        <v>122625000</v>
      </c>
      <c r="G17" s="31"/>
      <c r="H17" s="31"/>
      <c r="I17" s="31"/>
      <c r="J17" s="31"/>
      <c r="K17" s="31"/>
      <c r="L17" s="31"/>
      <c r="M17" s="31"/>
      <c r="N17" s="117"/>
    </row>
    <row r="18" customFormat="false" ht="21.75" hidden="false" customHeight="true" outlineLevel="0" collapsed="false">
      <c r="A18" s="31"/>
      <c r="B18" s="85" t="s">
        <v>184</v>
      </c>
      <c r="C18" s="86" t="n">
        <f aca="false">SUM(C6:C17)</f>
        <v>113010000</v>
      </c>
      <c r="D18" s="86" t="n">
        <f aca="false">SUM(D6:D17)</f>
        <v>75385000</v>
      </c>
      <c r="E18" s="86" t="n">
        <f aca="false">SUM(E6:E17)</f>
        <v>37625000</v>
      </c>
      <c r="F18" s="107" t="n">
        <f aca="false">F17</f>
        <v>122625000</v>
      </c>
      <c r="G18" s="31"/>
      <c r="H18" s="31"/>
      <c r="I18" s="31"/>
      <c r="J18" s="31"/>
      <c r="K18" s="31"/>
      <c r="L18" s="31"/>
      <c r="M18" s="31"/>
      <c r="N18" s="117"/>
    </row>
    <row r="19" customFormat="false" ht="9.7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17"/>
    </row>
    <row r="20" customFormat="false" ht="9.7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117"/>
    </row>
    <row r="21" customFormat="false" ht="21.75" hidden="false" customHeight="true" outlineLevel="0" collapsed="false">
      <c r="A21" s="31"/>
      <c r="B21" s="7" t="s">
        <v>253</v>
      </c>
      <c r="C21" s="7"/>
      <c r="D21" s="7"/>
      <c r="E21" s="7"/>
      <c r="F21" s="7"/>
      <c r="G21" s="31"/>
      <c r="H21" s="31"/>
      <c r="I21" s="31"/>
      <c r="J21" s="31"/>
      <c r="K21" s="31"/>
      <c r="L21" s="31"/>
      <c r="M21" s="31"/>
      <c r="N21" s="117"/>
    </row>
    <row r="22" customFormat="false" ht="25.5" hidden="false" customHeight="true" outlineLevel="0" collapsed="false">
      <c r="A22" s="31"/>
      <c r="B22" s="44" t="s">
        <v>254</v>
      </c>
      <c r="C22" s="56" t="s">
        <v>255</v>
      </c>
      <c r="D22" s="56" t="s">
        <v>256</v>
      </c>
      <c r="E22" s="56" t="s">
        <v>249</v>
      </c>
      <c r="F22" s="121"/>
      <c r="G22" s="31"/>
      <c r="H22" s="31"/>
      <c r="I22" s="31"/>
      <c r="J22" s="31"/>
      <c r="K22" s="31"/>
      <c r="L22" s="31"/>
      <c r="M22" s="31"/>
      <c r="N22" s="117"/>
    </row>
    <row r="23" customFormat="false" ht="18.75" hidden="false" customHeight="true" outlineLevel="0" collapsed="false">
      <c r="A23" s="31"/>
      <c r="B23" s="75" t="str">
        <f aca="false">Master!$L$5</f>
        <v>BSI 7101-2345-67</v>
      </c>
      <c r="C23" s="77" t="n">
        <f aca="false">SUMIFS(Penerimaan!$J$6:$J$400,Penerimaan!$I$6:$I$400,$B23)</f>
        <v>89010000</v>
      </c>
      <c r="D23" s="77" t="n">
        <f aca="false">SUMIFS(Pengeluaran!$J$6:$J$400,Pengeluaran!$I$6:$I$400,$B23)</f>
        <v>66885000</v>
      </c>
      <c r="E23" s="103" t="n">
        <f aca="false">C23-D23</f>
        <v>22125000</v>
      </c>
      <c r="F23" s="122"/>
      <c r="G23" s="31"/>
      <c r="H23" s="31"/>
      <c r="I23" s="31"/>
      <c r="J23" s="31"/>
      <c r="K23" s="31"/>
      <c r="L23" s="31"/>
      <c r="M23" s="31"/>
      <c r="N23" s="117"/>
    </row>
    <row r="24" customFormat="false" ht="18.75" hidden="false" customHeight="true" outlineLevel="0" collapsed="false">
      <c r="A24" s="31"/>
      <c r="B24" s="80" t="str">
        <f aca="false">Master!$L$6</f>
        <v>Muamalat 3010-8899-01</v>
      </c>
      <c r="C24" s="82" t="n">
        <f aca="false">SUMIFS(Penerimaan!$J$6:$J$400,Penerimaan!$I$6:$I$400,$B24)</f>
        <v>24000000</v>
      </c>
      <c r="D24" s="82" t="n">
        <f aca="false">SUMIFS(Pengeluaran!$J$6:$J$400,Pengeluaran!$I$6:$I$400,$B24)</f>
        <v>8500000</v>
      </c>
      <c r="E24" s="105" t="n">
        <f aca="false">C24-D24</f>
        <v>15500000</v>
      </c>
      <c r="F24" s="122"/>
      <c r="G24" s="31"/>
      <c r="H24" s="31"/>
      <c r="I24" s="31"/>
      <c r="J24" s="31"/>
      <c r="K24" s="31"/>
      <c r="L24" s="31"/>
      <c r="M24" s="31"/>
      <c r="N24" s="117"/>
    </row>
    <row r="25" customFormat="false" ht="19.5" hidden="false" customHeight="true" outlineLevel="0" collapsed="false">
      <c r="A25" s="31"/>
      <c r="B25" s="27" t="s">
        <v>257</v>
      </c>
      <c r="C25" s="27"/>
      <c r="D25" s="27"/>
      <c r="E25" s="27"/>
      <c r="F25" s="27"/>
      <c r="G25" s="31"/>
      <c r="H25" s="31"/>
      <c r="I25" s="31"/>
      <c r="J25" s="31"/>
      <c r="K25" s="31"/>
      <c r="L25" s="31"/>
      <c r="M25" s="31"/>
      <c r="N25" s="117"/>
    </row>
    <row r="26" customFormat="false" ht="14.25" hidden="false" customHeight="false" outlineLevel="0" collapsed="false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117"/>
    </row>
    <row r="27" customFormat="false" ht="14.25" hidden="false" customHeight="false" outlineLevel="0" collapsed="false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117"/>
    </row>
    <row r="28" customFormat="false" ht="14.25" hidden="false" customHeight="false" outlineLevel="0" collapsed="false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117"/>
    </row>
    <row r="29" customFormat="false" ht="14.25" hidden="false" customHeight="false" outlineLevel="0" collapsed="false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117"/>
    </row>
  </sheetData>
  <mergeCells count="5">
    <mergeCell ref="A1:L1"/>
    <mergeCell ref="M1:N1"/>
    <mergeCell ref="A2:N2"/>
    <mergeCell ref="B21:F21"/>
    <mergeCell ref="B25:F25"/>
  </mergeCells>
  <conditionalFormatting sqref="E6:E17">
    <cfRule type="cellIs" priority="2" operator="lessThan" aboveAverage="0" equalAverage="0" bottom="0" percent="0" rank="0" text="" dxfId="9">
      <formula>0</formula>
    </cfRule>
  </conditionalFormatting>
  <conditionalFormatting sqref="F6:F17">
    <cfRule type="dataBar" priority="3">
      <dataBar showValue="1" minLength="10" maxLength="90">
        <cfvo type="num" val="0"/>
        <cfvo type="max" val="0"/>
        <color rgb="FF11543C"/>
      </dataBar>
      <extLst>
        <ext xmlns:x14="http://schemas.microsoft.com/office/spreadsheetml/2009/9/main" uri="{B025F937-C7B1-47D3-B67F-A62EFF666E3E}">
          <x14:id>{ADCB6AD3-DBF4-4BE0-963C-8FA6F6FD42CB}</x14:id>
        </ext>
      </extLst>
    </cfRule>
  </conditionalFormatting>
  <printOptions headings="false" gridLines="false" gridLinesSet="true" horizontalCentered="false" verticalCentered="false"/>
  <pageMargins left="0.35" right="0.35" top="0.5" bottom="0.5" header="0.511811023622047" footer="0.511805555555556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&amp;K808080Sistem Manajemen Keuangan Masjid&amp;R&amp;8 &amp;K808080Halaman &amp;P dari &amp;N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CB6AD3-DBF4-4BE0-963C-8FA6F6FD42CB}">
            <x14:dataBar minLength="10" maxLength="90" axisPosition="none" gradient="true">
              <x14:cfvo type="num">
                <xm:f>0</xm:f>
              </x14:cfvo>
              <x14:cfvo type="max"/>
              <x14:negativeFillColor rgb="FF11543C"/>
              <x14:axisColor rgb="FF000000"/>
            </x14:dataBar>
          </x14:cfRule>
          <xm:sqref>F6:F17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2026-07-09T16:58:16Z</dcterms:created>
  <dc:creator>openpyxl</dc:creator>
  <dc:description/>
  <dc:language>en-US</dc:language>
  <cp:lastModifiedBy/>
  <dcterms:modified xsi:type="dcterms:W3CDTF">2026-08-22T13:30:53Z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